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6"/>
  <workbookPr codeName="ThisWorkbook"/>
  <mc:AlternateContent xmlns:mc="http://schemas.openxmlformats.org/markup-compatibility/2006">
    <mc:Choice Requires="x15">
      <x15ac:absPath xmlns:x15ac="http://schemas.microsoft.com/office/spreadsheetml/2010/11/ac" url="P:\Reporting\Rapports annuels - AG\AG 2025\"/>
    </mc:Choice>
  </mc:AlternateContent>
  <xr:revisionPtr revIDLastSave="0" documentId="8_{7609D713-5D19-C44C-9ABC-1B21D27A9ADD}" xr6:coauthVersionLast="47" xr6:coauthVersionMax="47" xr10:uidLastSave="{00000000-0000-0000-0000-000000000000}"/>
  <bookViews>
    <workbookView xWindow="-110" yWindow="-110" windowWidth="25180" windowHeight="16140" firstSheet="1" activeTab="1" xr2:uid="{1DDCD72A-407A-6C4F-B732-F0C0675B5642}"/>
  </bookViews>
  <sheets>
    <sheet name="Budget -Tarifs" sheetId="3" r:id="rId1"/>
    <sheet name="Simulateur | FR" sheetId="4" r:id="rId2"/>
    <sheet name="Budget -Fares EN" sheetId="15" r:id="rId3"/>
    <sheet name="Simulator | EN" sheetId="13" r:id="rId4"/>
    <sheet name="Budget -Tarife DE" sheetId="16" r:id="rId5"/>
    <sheet name="Simulator | DE" sheetId="14" r:id="rId6"/>
    <sheet name="Paramètres" sheetId="5" state="hidden" r:id="rId7"/>
  </sheets>
  <definedNames>
    <definedName name="DE_Cantine_Lookup">Paramètres!$O$42:$P$45</definedName>
    <definedName name="DE_Collège">Paramètres!$D$44</definedName>
    <definedName name="DE_Élémentaire">Paramètres!$D$43</definedName>
    <definedName name="DE_ERR_Données_oligatoires_manquantes">Paramètres!$AT$44</definedName>
    <definedName name="DE_ERR_Données_tarifs_réduits_manquantes">Paramètres!$AT$46</definedName>
    <definedName name="DE_ERR_Non_proposé_pour_lycée">Paramètres!$AT$40</definedName>
    <definedName name="DE_ERR_Non_proposé_pour_secondaire">Paramètres!$AT$42</definedName>
    <definedName name="DE_ERR_Seulement_pour_élémentaire">Paramètres!$AT$48</definedName>
    <definedName name="DE_Étude_dirigée">Paramètres!$Q$42:$Q$45</definedName>
    <definedName name="DE_Étude_dirigée_Lookup">Paramètres!$Q$42:$R$45</definedName>
    <definedName name="DE_Garderie_Jeudi">Paramètres!$AF$40:$AF$42</definedName>
    <definedName name="DE_Garderie_Lundi">Paramètres!$T$40:$T$42</definedName>
    <definedName name="DE_Garderie_Mardi">Paramètres!$X$40:$X$42</definedName>
    <definedName name="DE_Garderie_Mercredi">Paramètres!$AB$40:$AB$42</definedName>
    <definedName name="DE_Garderie_Vendredi">Paramètres!$AJ$40:$AJ$45</definedName>
    <definedName name="DE_INFO_Dépôt_de_garantie_à_verser_lors_de_la_première_inscription">Paramètres!$AV$42</definedName>
    <definedName name="DE_INFO_Dépôt_de_garantie_déjà_versé">Paramètres!$AV$40</definedName>
    <definedName name="DE_Inscription">Paramètres!$F$42:$F$44</definedName>
    <definedName name="DE_Inscription_Lookup">Paramètres!$F$42:$G$44</definedName>
    <definedName name="DE_Liste_Oui_Non">Paramètres!$M$42:$M$43</definedName>
    <definedName name="DE_Liste_Oui_Non_Ne_souhaite_pas_répondre">Paramètres!$M$42:$M$44</definedName>
    <definedName name="DE_Lycée">Paramètres!$D$45</definedName>
    <definedName name="DE_Maternelle">Paramètres!$D$42</definedName>
    <definedName name="DE_Ne_souhaite_pas_répondre">Paramètres!$M$44</definedName>
    <definedName name="DE_Niveaux">Paramètres!$D$42:$D$45</definedName>
    <definedName name="DE_Niveaux_Lookup">Paramètres!$D$42:$E$45</definedName>
    <definedName name="DE_Nombre_Enfants_à_scolariser">'Simulator | DE'!$E$24</definedName>
    <definedName name="DE_Non">Paramètres!$M$43</definedName>
    <definedName name="DE_Oui">Paramètres!$M$42</definedName>
    <definedName name="DE_Régime_Cantine_Collège_Lycée">Paramètres!$O$44:$O$45</definedName>
    <definedName name="DE_Régime_Cantine_Élémentaire">Paramètres!$O$43:$O$45</definedName>
    <definedName name="DE_Régime_Cantine_Maternelle">Paramètres!$O$43:$O$44</definedName>
    <definedName name="DE_Tarif_applicable">'Simulator | DE'!$BB$29</definedName>
    <definedName name="EN_Cantine_Lookup">Paramètres!$O$29:$P$32</definedName>
    <definedName name="EN_Collège">Paramètres!$D$31</definedName>
    <definedName name="EN_Élémentaire">Paramètres!$D$30</definedName>
    <definedName name="EN_ERR_Données_oligatoires_manquantes">Paramètres!$AT$32</definedName>
    <definedName name="EN_ERR_Données_tarifs_réduits_manquantes">Paramètres!$AT$34</definedName>
    <definedName name="EN_ERR_Non_proposé_pour_lycée">Paramètres!$AT$28</definedName>
    <definedName name="EN_ERR_Non_proposé_pour_secondaire">Paramètres!$AT$30</definedName>
    <definedName name="EN_ERR_Seulement_pour_élémentaire">Paramètres!$AT$36</definedName>
    <definedName name="EN_Étude_dirigée">Paramètres!$Q$29:$Q$32</definedName>
    <definedName name="EN_Étude_dirigée_Lookup">Paramètres!$Q$29:$R$32</definedName>
    <definedName name="EN_Garderie_Jeudi">Paramètres!$AF$27:$AF$29</definedName>
    <definedName name="EN_Garderie_Lundi">Paramètres!$T$27:$T$29</definedName>
    <definedName name="EN_Garderie_Mardi">Paramètres!$X$27:$X$29</definedName>
    <definedName name="EN_Garderie_Mercredi">Paramètres!$AB$27:$AB$29</definedName>
    <definedName name="EN_Garderie_Vendredi">Paramètres!$AJ$27:$AJ$32</definedName>
    <definedName name="EN_INFO_Dépôt_de_garantie_à_verser_lors_de_la_première_inscription">Paramètres!$AV$30</definedName>
    <definedName name="EN_INFO_Dépôt_de_garantie_déjà_versé">Paramètres!$AV$28</definedName>
    <definedName name="EN_Inscription">Paramètres!$F$29:$F$31</definedName>
    <definedName name="EN_Inscription_Lookup">Paramètres!$F$29:$G$31</definedName>
    <definedName name="EN_Liste_Oui_Non">Paramètres!$M$29:$M$30</definedName>
    <definedName name="EN_Liste_Oui_Non_Ne_souhaite_pas_répondre">Paramètres!$M$29:$M$31</definedName>
    <definedName name="EN_Lycée">Paramètres!$D$32</definedName>
    <definedName name="EN_Maternelle">Paramètres!$D$29</definedName>
    <definedName name="EN_Ne_souhaite_pas_répondre">Paramètres!$M$31</definedName>
    <definedName name="EN_Niveaux">Paramètres!$D$29:$D$32</definedName>
    <definedName name="EN_Niveaux_Lookup">Paramètres!$D$29:$E$32</definedName>
    <definedName name="EN_Nombre_Enfants_à_scolariser">'Simulator | EN'!$E$24</definedName>
    <definedName name="EN_Non">Paramètres!$M$30</definedName>
    <definedName name="EN_Oui">Paramètres!$M$29</definedName>
    <definedName name="EN_Régime_Cantine_Collège_Lycée">Paramètres!$O$31:$O$32</definedName>
    <definedName name="EN_Régime_Cantine_Élémentaire">Paramètres!$O$30:$O$32</definedName>
    <definedName name="EN_Régime_Cantine_Maternelle">Paramètres!$O$30:$O$31</definedName>
    <definedName name="EN_Tarif_applicable">'Simulator | EN'!$BB$29</definedName>
    <definedName name="FR_Cantine_Lookup">Paramètres!$O$16:$P$19</definedName>
    <definedName name="FR_Collège">Paramètres!$D$18</definedName>
    <definedName name="FR_Élémentaire">Paramètres!$D$17</definedName>
    <definedName name="FR_ERR_Données_oligatoires_manquantes">Paramètres!$AT$18</definedName>
    <definedName name="FR_ERR_Données_tarifs_réduits_manquantes">Paramètres!$AT$20</definedName>
    <definedName name="FR_ERR_Non_proposé_pour_lycée">Paramètres!$AT$14</definedName>
    <definedName name="FR_ERR_Non_proposé_pour_secondaire">Paramètres!$AT$16</definedName>
    <definedName name="FR_ERR_Seulement_pour_élémentaire">Paramètres!$AT$22</definedName>
    <definedName name="FR_Étude_dirigée">Paramètres!$Q$16:$Q$19</definedName>
    <definedName name="FR_Étude_dirigée_Lookup">Paramètres!$Q$16:$R$19</definedName>
    <definedName name="FR_Garderie_Jeudi">Paramètres!$AF$12:$AF$14</definedName>
    <definedName name="FR_Garderie_Lundi">Paramètres!$T$12:$T$14</definedName>
    <definedName name="FR_Garderie_Mardi">Paramètres!$X$12:$X$14</definedName>
    <definedName name="FR_Garderie_Mercredi">Paramètres!$AB$12:$AB$14</definedName>
    <definedName name="FR_Garderie_Vendredi">Paramètres!$AJ$12:$AJ$17</definedName>
    <definedName name="FR_INFO_Dépôt_de_garantie_à_verser_lors_de_la_première_inscription">Paramètres!$AV$16</definedName>
    <definedName name="FR_INFO_Dépôt_de_garantie_déjà_versé">Paramètres!$AV$14</definedName>
    <definedName name="FR_Inscription">Paramètres!$F$16:$F$18</definedName>
    <definedName name="FR_Inscription_Lookup">Paramètres!$F$16:$G$18</definedName>
    <definedName name="FR_Liste_Oui_Non">Paramètres!$M$16:$M$17</definedName>
    <definedName name="FR_Liste_Oui_Non_Ne_souhaite_pas_répondre">Paramètres!$M$16:$M$18</definedName>
    <definedName name="FR_Lycée">Paramètres!$D$19</definedName>
    <definedName name="FR_Maternelle">Paramètres!$D$16</definedName>
    <definedName name="FR_Ne_souhaite_pas_répondre">Paramètres!$M$18</definedName>
    <definedName name="FR_Niveaux">Paramètres!$D$16:$D$19</definedName>
    <definedName name="FR_Niveaux_Lookup">Paramètres!$D$16:$E$19</definedName>
    <definedName name="FR_Nombre_Enfants_à_scolariser" localSheetId="5">'Simulator | DE'!$E$24</definedName>
    <definedName name="FR_Nombre_Enfants_à_scolariser" localSheetId="3">'Simulator | EN'!$E$24</definedName>
    <definedName name="FR_Nombre_Enfants_à_scolariser">'Simulateur | FR'!$E$24</definedName>
    <definedName name="FR_Non">Paramètres!$M$17</definedName>
    <definedName name="FR_Oui">Paramètres!$M$16</definedName>
    <definedName name="FR_Régime_Cantine_Collège_Lycée">Paramètres!$O$18:$O$19</definedName>
    <definedName name="FR_Régime_Cantine_Élémentaire">Paramètres!$O$17:$O$19</definedName>
    <definedName name="FR_Régime_Cantine_Maternelle">Paramètres!$O$17:$O$18</definedName>
    <definedName name="FR_Tarif_applicable" localSheetId="5">'Simulator | DE'!$BB$29</definedName>
    <definedName name="FR_Tarif_applicable" localSheetId="3">'Simulator | EN'!$BB$29</definedName>
    <definedName name="FR_Tarif_applicable">'Simulateur | FR'!$BB$29</definedName>
    <definedName name="Garderie_Jeudi_VLOOKUP">Paramètres!$AF:$AH</definedName>
    <definedName name="Garderie_Lundi_VLOOKUP">Paramètres!$T:$V</definedName>
    <definedName name="Garderie_Mardi_VLOOKUP">Paramètres!$X:$Z</definedName>
    <definedName name="Garderie_Mercredi_VLOOKUP">Paramètres!$AB:$AD</definedName>
    <definedName name="Garderie_Vendredi_VLOOKUP">Paramètres!$AJ:$AL</definedName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TRUE</definedName>
    <definedName name="RiskUseDifferentSeedForEachSim">FALSE</definedName>
    <definedName name="RiskUseFixedSeed">FALSE</definedName>
    <definedName name="RiskUseMultipleCPUs">FALSE</definedName>
    <definedName name="T_Cantine_Collège_DP5">'Budget -Tarifs'!$I$24</definedName>
    <definedName name="T_Cantine_Collège_PN">'Budget -Tarifs'!$I$25</definedName>
    <definedName name="T_Cantine_Élémentaire_DP4">'Budget -Tarifs'!$H$23</definedName>
    <definedName name="T_Cantine_Élémentaire_DP5">'Budget -Tarifs'!$H$24</definedName>
    <definedName name="T_Cantine_Élémentaire_PN">'Budget -Tarifs'!$H$25</definedName>
    <definedName name="T_Cantine_Lycée_DP5">'Budget -Tarifs'!$J$24</definedName>
    <definedName name="T_Cantine_Lycée_PN">'Budget -Tarifs'!$J$25</definedName>
    <definedName name="T_Cantine_Maternelle_DP4">'Budget -Tarifs'!$G$23</definedName>
    <definedName name="T_Cantine_Maternelle_DP5">'Budget -Tarifs'!$G$24</definedName>
    <definedName name="T_Dépôt_de_garantie">'Budget -Tarifs'!$D$24</definedName>
    <definedName name="T_Droits_d_entrée">'Budget -Tarifs'!$D$23</definedName>
    <definedName name="T_Étude_dirigée_1_séance">'Budget -Tarifs'!$J$43</definedName>
    <definedName name="T_Étude_dirigée_2_séances">'Budget -Tarifs'!$J$44</definedName>
    <definedName name="T_Étude_dirigée_3_séances">'Budget -Tarifs'!$J$45</definedName>
    <definedName name="T_Étude_dirigée_4_séances">'Budget -Tarifs'!$J$46</definedName>
    <definedName name="T_Frais_de_Dossier">'Budget -Tarifs'!$D$22</definedName>
    <definedName name="T_Frais_de_réinscription">'Budget -Tarifs'!$D$25</definedName>
    <definedName name="T_Garderie_1Sem_1h00">'Budget -Tarifs'!$D$43</definedName>
    <definedName name="T_Garderie_1Sem_1h15">'Budget -Tarifs'!$D$42</definedName>
    <definedName name="T_HTS">'Budget -Tarifs'!$I$48</definedName>
    <definedName name="T_Livres_Collège">'Budget -Tarifs'!$D$29</definedName>
    <definedName name="T_Livres_Élémentaire">'Budget -Tarifs'!$D$28</definedName>
    <definedName name="T_Livres_Lycée">'Budget -Tarifs'!$D$30</definedName>
    <definedName name="T_Livres_Maternelle">'Budget -Tarifs'!$D$27</definedName>
    <definedName name="T_Mercredis_récréatifs">'Budget -Tarifs'!$D$45</definedName>
    <definedName name="T_Navette_1Sem">'Budget -Tarifs'!$D$49</definedName>
    <definedName name="T_Prime_Fidélité">'Budget -Tarifs'!$G$19</definedName>
    <definedName name="TO_Collège">'Budget -Tarifs'!$I$11</definedName>
    <definedName name="TO_Élémentaire">'Budget -Tarifs'!$H$11</definedName>
    <definedName name="TO_Lycée">'Budget -Tarifs'!$J$11</definedName>
    <definedName name="TO_Maternelle">'Budget -Tarifs'!$G$11</definedName>
    <definedName name="TR1_Collège">'Budget -Tarifs'!$I$12</definedName>
    <definedName name="TR1_Élémentaire">'Budget -Tarifs'!$H$12</definedName>
    <definedName name="TR1_Lycée">'Budget -Tarifs'!$J$12</definedName>
    <definedName name="TR1_Maternelle">'Budget -Tarifs'!$G$12</definedName>
    <definedName name="TR2_Collège">'Budget -Tarifs'!$I$13</definedName>
    <definedName name="TR2_Élémentaire">'Budget -Tarifs'!$H$13</definedName>
    <definedName name="TR2_Lycée">'Budget -Tarifs'!$J$13</definedName>
    <definedName name="TR2_Maternelle">'Budget -Tarifs'!$G$13</definedName>
    <definedName name="TR3_Collège">'Budget -Tarifs'!$I$14</definedName>
    <definedName name="TR3_Élémentaire">'Budget -Tarifs'!$H$14</definedName>
    <definedName name="TR3_Lycée">'Budget -Tarifs'!$J$14</definedName>
    <definedName name="TR3_Maternelle">'Budget -Tarifs'!$G$14</definedName>
    <definedName name="TR4_Collège">'Budget -Tarifs'!$I$15</definedName>
    <definedName name="TR4_Élémentaire">'Budget -Tarifs'!$H$15</definedName>
    <definedName name="TR4_Lycée">'Budget -Tarifs'!$J$15</definedName>
    <definedName name="TR4_Maternelle">'Budget -Tarifs'!$G$15</definedName>
    <definedName name="TR5_Collège">'Budget -Tarifs'!$I$16</definedName>
    <definedName name="TR5_Élémentaire">'Budget -Tarifs'!$H$16</definedName>
    <definedName name="TR5_Lycée">'Budget -Tarifs'!$J$16</definedName>
    <definedName name="TR5_Maternelle">'Budget -Tarifs'!$G$16</definedName>
    <definedName name="TR6_Collège">'Budget -Tarifs'!$I$17</definedName>
    <definedName name="TR6_Élémentaire">'Budget -Tarifs'!$H$17</definedName>
    <definedName name="TR6_Lycée">'Budget -Tarifs'!$J$17</definedName>
    <definedName name="TR6_Maternelle">'Budget -Tarifs'!$G$17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23" i="13" l="1" a="1"/>
  <c r="AR23" i="13"/>
  <c r="AM23" i="13" a="1"/>
  <c r="AM23" i="13"/>
  <c r="AB23" i="13" a="1"/>
  <c r="AB23" i="13"/>
  <c r="AR21" i="13" a="1"/>
  <c r="AR21" i="13"/>
  <c r="AM21" i="13" a="1"/>
  <c r="AM21" i="13"/>
  <c r="AB21" i="13" a="1"/>
  <c r="AB21" i="13"/>
  <c r="AR19" i="13" a="1"/>
  <c r="AR19" i="13"/>
  <c r="AM19" i="13" a="1"/>
  <c r="AM19" i="13"/>
  <c r="AB19" i="13" a="1"/>
  <c r="AB19" i="13"/>
  <c r="AR15" i="13" a="1"/>
  <c r="AR15" i="13"/>
  <c r="AM15" i="13" a="1"/>
  <c r="AM15" i="13"/>
  <c r="AR23" i="14" a="1"/>
  <c r="AR23" i="14"/>
  <c r="AM23" i="14" a="1"/>
  <c r="AM23" i="14"/>
  <c r="AB23" i="14" a="1"/>
  <c r="AB23" i="14"/>
  <c r="AR21" i="14" a="1"/>
  <c r="AR21" i="14"/>
  <c r="AM21" i="14" a="1"/>
  <c r="AM21" i="14"/>
  <c r="AB21" i="14" a="1"/>
  <c r="AB21" i="14"/>
  <c r="AR19" i="14" a="1"/>
  <c r="AR19" i="14"/>
  <c r="AM19" i="14" a="1"/>
  <c r="AM19" i="14"/>
  <c r="AB19" i="14" a="1"/>
  <c r="AB19" i="14"/>
  <c r="AR17" i="14" a="1"/>
  <c r="AR17" i="14"/>
  <c r="AM17" i="14" a="1"/>
  <c r="AM17" i="14"/>
  <c r="AB17" i="14" a="1"/>
  <c r="AB17" i="14"/>
  <c r="AR15" i="14" a="1"/>
  <c r="AR15" i="14"/>
  <c r="AM15" i="14" a="1"/>
  <c r="AM15" i="14"/>
  <c r="AR23" i="4" a="1"/>
  <c r="AR23" i="4"/>
  <c r="AM23" i="4" a="1"/>
  <c r="AM23" i="4"/>
  <c r="AB23" i="4" a="1"/>
  <c r="AB23" i="4"/>
  <c r="AR21" i="4" a="1"/>
  <c r="AR21" i="4"/>
  <c r="AM21" i="4" a="1"/>
  <c r="AM21" i="4"/>
  <c r="AB21" i="4" a="1"/>
  <c r="AB21" i="4"/>
  <c r="AR19" i="4" a="1"/>
  <c r="AR19" i="4"/>
  <c r="AM19" i="4" a="1"/>
  <c r="AM19" i="4"/>
  <c r="AB19" i="4" a="1"/>
  <c r="AB19" i="4"/>
  <c r="AR17" i="4" a="1"/>
  <c r="AR17" i="4"/>
  <c r="AM17" i="4" a="1"/>
  <c r="AM17" i="4"/>
  <c r="AB17" i="4" a="1"/>
  <c r="AB17" i="4"/>
  <c r="AR15" i="4" a="1"/>
  <c r="AR15" i="4"/>
  <c r="AM15" i="4" a="1"/>
  <c r="AM15" i="4"/>
  <c r="AB15" i="4" a="1"/>
  <c r="AB15" i="4"/>
  <c r="E24" i="13"/>
  <c r="AR17" i="13" a="1"/>
  <c r="AR17" i="13"/>
  <c r="AM17" i="13" a="1"/>
  <c r="AM17" i="13"/>
  <c r="AB17" i="13" a="1"/>
  <c r="AB17" i="13"/>
  <c r="AB15" i="14" a="1"/>
  <c r="AB15" i="14"/>
  <c r="AB15" i="13" a="1"/>
  <c r="AB15" i="13"/>
  <c r="AT48" i="5"/>
  <c r="AT22" i="5"/>
  <c r="E24" i="14"/>
  <c r="CH22" i="14"/>
  <c r="CF22" i="14"/>
  <c r="CD22" i="14"/>
  <c r="CB22" i="14"/>
  <c r="BZ22" i="14"/>
  <c r="BX22" i="14"/>
  <c r="BV22" i="14"/>
  <c r="BT22" i="14"/>
  <c r="BR22" i="14"/>
  <c r="BP22" i="14"/>
  <c r="AT22" i="14"/>
  <c r="CH20" i="14"/>
  <c r="CF20" i="14"/>
  <c r="CD20" i="14"/>
  <c r="CB20" i="14"/>
  <c r="BZ20" i="14"/>
  <c r="BX20" i="14"/>
  <c r="BV20" i="14"/>
  <c r="BT20" i="14"/>
  <c r="BR20" i="14"/>
  <c r="BP20" i="14"/>
  <c r="AT20" i="14"/>
  <c r="CH18" i="14"/>
  <c r="CF18" i="14"/>
  <c r="CD18" i="14"/>
  <c r="CB18" i="14"/>
  <c r="BZ18" i="14"/>
  <c r="BX18" i="14"/>
  <c r="BV18" i="14"/>
  <c r="BT18" i="14"/>
  <c r="BR18" i="14"/>
  <c r="BP18" i="14"/>
  <c r="AT18" i="14"/>
  <c r="CH16" i="14"/>
  <c r="CF16" i="14"/>
  <c r="CD16" i="14"/>
  <c r="CB16" i="14"/>
  <c r="BZ16" i="14"/>
  <c r="BX16" i="14"/>
  <c r="BV16" i="14"/>
  <c r="BT16" i="14"/>
  <c r="BR16" i="14"/>
  <c r="BP16" i="14"/>
  <c r="AT16" i="14"/>
  <c r="CH14" i="14"/>
  <c r="CF14" i="14"/>
  <c r="CD14" i="14"/>
  <c r="CB14" i="14"/>
  <c r="BZ14" i="14"/>
  <c r="BX14" i="14"/>
  <c r="BV14" i="14"/>
  <c r="BT14" i="14"/>
  <c r="BR14" i="14"/>
  <c r="BP14" i="14"/>
  <c r="AT14" i="14"/>
  <c r="CH22" i="13"/>
  <c r="CF22" i="13"/>
  <c r="CD22" i="13"/>
  <c r="CB22" i="13"/>
  <c r="BZ22" i="13"/>
  <c r="BX22" i="13"/>
  <c r="BV22" i="13"/>
  <c r="BT22" i="13"/>
  <c r="BR22" i="13"/>
  <c r="BP22" i="13"/>
  <c r="AT22" i="13"/>
  <c r="CH20" i="13"/>
  <c r="CF20" i="13"/>
  <c r="CD20" i="13"/>
  <c r="CB20" i="13"/>
  <c r="BZ20" i="13"/>
  <c r="BX20" i="13"/>
  <c r="BV20" i="13"/>
  <c r="BT20" i="13"/>
  <c r="BR20" i="13"/>
  <c r="BP20" i="13"/>
  <c r="AT20" i="13"/>
  <c r="CH18" i="13"/>
  <c r="CF18" i="13"/>
  <c r="CD18" i="13"/>
  <c r="CB18" i="13"/>
  <c r="BZ18" i="13"/>
  <c r="BX18" i="13"/>
  <c r="BV18" i="13"/>
  <c r="BT18" i="13"/>
  <c r="BR18" i="13"/>
  <c r="BP18" i="13"/>
  <c r="AT18" i="13"/>
  <c r="CH16" i="13"/>
  <c r="CF16" i="13"/>
  <c r="CD16" i="13"/>
  <c r="CB16" i="13"/>
  <c r="BZ16" i="13"/>
  <c r="BX16" i="13"/>
  <c r="BV16" i="13"/>
  <c r="BT16" i="13"/>
  <c r="BR16" i="13"/>
  <c r="BP16" i="13"/>
  <c r="AT16" i="13"/>
  <c r="CH14" i="13"/>
  <c r="CF14" i="13"/>
  <c r="CD14" i="13"/>
  <c r="CB14" i="13"/>
  <c r="BZ14" i="13"/>
  <c r="BX14" i="13"/>
  <c r="BV14" i="13"/>
  <c r="BT14" i="13"/>
  <c r="BR14" i="13"/>
  <c r="BP14" i="13"/>
  <c r="AT14" i="13"/>
  <c r="CL16" i="14"/>
  <c r="CL20" i="14"/>
  <c r="CJ14" i="14"/>
  <c r="CJ18" i="14"/>
  <c r="CJ22" i="14"/>
  <c r="CL14" i="14"/>
  <c r="CL18" i="14"/>
  <c r="CL22" i="14"/>
  <c r="CJ16" i="14"/>
  <c r="CJ20" i="14"/>
  <c r="CJ16" i="13"/>
  <c r="CJ20" i="13"/>
  <c r="CL16" i="13"/>
  <c r="CL20" i="13"/>
  <c r="CJ14" i="13"/>
  <c r="CJ18" i="13"/>
  <c r="CJ22" i="13"/>
  <c r="CL14" i="13"/>
  <c r="CL18" i="13"/>
  <c r="CL22" i="13"/>
  <c r="BG22" i="13" a="1"/>
  <c r="BG22" i="13"/>
  <c r="BG20" i="13" a="1"/>
  <c r="BG20" i="13"/>
  <c r="AP16" i="14"/>
  <c r="AP20" i="14"/>
  <c r="AP20" i="13"/>
  <c r="AP14" i="14"/>
  <c r="AP18" i="14"/>
  <c r="AP22" i="14"/>
  <c r="AP14" i="13"/>
  <c r="AP16" i="13"/>
  <c r="AP22" i="13"/>
  <c r="AP18" i="13"/>
  <c r="CH22" i="4"/>
  <c r="CF22" i="4"/>
  <c r="CD22" i="4"/>
  <c r="CB22" i="4"/>
  <c r="BZ22" i="4"/>
  <c r="BX22" i="4"/>
  <c r="BV22" i="4"/>
  <c r="BT22" i="4"/>
  <c r="BR22" i="4"/>
  <c r="BP22" i="4"/>
  <c r="CH20" i="4"/>
  <c r="CF20" i="4"/>
  <c r="CD20" i="4"/>
  <c r="CB20" i="4"/>
  <c r="BZ20" i="4"/>
  <c r="BX20" i="4"/>
  <c r="BV20" i="4"/>
  <c r="BT20" i="4"/>
  <c r="BR20" i="4"/>
  <c r="BP20" i="4"/>
  <c r="CH18" i="4"/>
  <c r="CF18" i="4"/>
  <c r="CD18" i="4"/>
  <c r="CB18" i="4"/>
  <c r="BZ18" i="4"/>
  <c r="BX18" i="4"/>
  <c r="BV18" i="4"/>
  <c r="BT18" i="4"/>
  <c r="BR18" i="4"/>
  <c r="BP18" i="4"/>
  <c r="CH16" i="4"/>
  <c r="CF16" i="4"/>
  <c r="CD16" i="4"/>
  <c r="CB16" i="4"/>
  <c r="BZ16" i="4"/>
  <c r="BX16" i="4"/>
  <c r="BV16" i="4"/>
  <c r="BT16" i="4"/>
  <c r="BR16" i="4"/>
  <c r="BP16" i="4"/>
  <c r="CH14" i="4"/>
  <c r="CF14" i="4"/>
  <c r="CD14" i="4"/>
  <c r="CB14" i="4"/>
  <c r="BZ14" i="4"/>
  <c r="BX14" i="4"/>
  <c r="BV14" i="4"/>
  <c r="BR14" i="4"/>
  <c r="BP14" i="4"/>
  <c r="BT14" i="4"/>
  <c r="AT22" i="4"/>
  <c r="AT20" i="4"/>
  <c r="AT18" i="4"/>
  <c r="AT16" i="4"/>
  <c r="AT14" i="4"/>
  <c r="AT42" i="5"/>
  <c r="AT16" i="5"/>
  <c r="AT30" i="5"/>
  <c r="E24" i="4"/>
  <c r="C34" i="3"/>
  <c r="CJ16" i="4"/>
  <c r="CJ18" i="4"/>
  <c r="CJ20" i="4"/>
  <c r="CL16" i="4"/>
  <c r="CL18" i="4"/>
  <c r="CL20" i="4"/>
  <c r="CJ22" i="4"/>
  <c r="CL22" i="4"/>
  <c r="AP20" i="4"/>
  <c r="AP18" i="4"/>
  <c r="AP22" i="4"/>
  <c r="CL14" i="4"/>
  <c r="CJ14" i="4"/>
  <c r="AP16" i="4"/>
  <c r="AP14" i="4"/>
  <c r="AV17" i="14" a="1"/>
  <c r="BL22" i="4"/>
  <c r="AV19" i="4" a="1"/>
  <c r="V22" i="4" a="1"/>
  <c r="BB25" i="13" a="1"/>
  <c r="BJ20" i="13" a="1"/>
  <c r="BJ14" i="4" a="1"/>
  <c r="BL14" i="14"/>
  <c r="AV23" i="13" a="1"/>
  <c r="BN16" i="4"/>
  <c r="V20" i="14" a="1"/>
  <c r="BN18" i="4"/>
  <c r="AX18" i="14" a="1"/>
  <c r="BD22" i="4"/>
  <c r="BL14" i="13"/>
  <c r="AX20" i="4" a="1"/>
  <c r="V18" i="13" a="1"/>
  <c r="V16" i="13" a="1"/>
  <c r="BF18" i="14"/>
  <c r="AV21" i="13" a="1"/>
  <c r="BN22" i="4"/>
  <c r="T21" i="14" a="1"/>
  <c r="BF14" i="13"/>
  <c r="BF16" i="14"/>
  <c r="BN18" i="14"/>
  <c r="T15" i="14" a="1"/>
  <c r="BJ20" i="4" a="1"/>
  <c r="BF16" i="4"/>
  <c r="V20" i="4" a="1"/>
  <c r="AX16" i="13" a="1"/>
  <c r="BB25" i="14" a="1"/>
  <c r="BD14" i="4"/>
  <c r="BD18" i="14"/>
  <c r="BB25" i="4" a="1"/>
  <c r="BL22" i="13"/>
  <c r="V14" i="4" a="1"/>
  <c r="BL18" i="14"/>
  <c r="G40" i="13" a="1"/>
  <c r="BD18" i="4"/>
  <c r="BD16" i="13"/>
  <c r="G40" i="4" a="1"/>
  <c r="AV15" i="14" a="1"/>
  <c r="BJ14" i="13" a="1"/>
  <c r="AX20" i="14" a="1"/>
  <c r="BN16" i="14"/>
  <c r="G40" i="14" a="1"/>
  <c r="BF20" i="13"/>
  <c r="BL18" i="4"/>
  <c r="BL20" i="13"/>
  <c r="BN20" i="13"/>
  <c r="BN14" i="14"/>
  <c r="T15" i="13" a="1"/>
  <c r="BD16" i="14"/>
  <c r="BD20" i="13"/>
  <c r="V14" i="13" a="1"/>
  <c r="BL14" i="4"/>
  <c r="AX14" i="14" a="1"/>
  <c r="BL18" i="13"/>
  <c r="BJ22" i="13" a="1"/>
  <c r="T23" i="4" a="1"/>
  <c r="BN16" i="13"/>
  <c r="V20" i="13" a="1"/>
  <c r="T17" i="14" a="1"/>
  <c r="AX22" i="13" a="1"/>
  <c r="V22" i="13" a="1"/>
  <c r="BN18" i="13"/>
  <c r="BN14" i="4"/>
  <c r="BF22" i="4"/>
  <c r="BJ18" i="4" a="1"/>
  <c r="BL16" i="13"/>
  <c r="BJ18" i="13" a="1"/>
  <c r="BJ16" i="14" a="1"/>
  <c r="BD20" i="4"/>
  <c r="AV21" i="4" a="1"/>
  <c r="V16" i="4" a="1"/>
  <c r="AX14" i="13" a="1"/>
  <c r="AX18" i="4" a="1"/>
  <c r="V16" i="14" a="1"/>
  <c r="BF20" i="4"/>
  <c r="V18" i="14" a="1"/>
  <c r="AV19" i="14" a="1"/>
  <c r="AV15" i="13" a="1"/>
  <c r="BJ16" i="13" a="1"/>
  <c r="AV23" i="4" a="1"/>
  <c r="T15" i="4" a="1"/>
  <c r="T17" i="13" a="1"/>
  <c r="BF18" i="4"/>
  <c r="BD22" i="14"/>
  <c r="BJ20" i="14" a="1"/>
  <c r="BF14" i="4"/>
  <c r="BN22" i="14"/>
  <c r="AV15" i="4" a="1"/>
  <c r="BL22" i="14"/>
  <c r="BN14" i="13"/>
  <c r="AV19" i="13" a="1"/>
  <c r="AV23" i="14" a="1"/>
  <c r="AX18" i="13" a="1"/>
  <c r="BN22" i="13"/>
  <c r="BJ22" i="14" a="1"/>
  <c r="BL16" i="14"/>
  <c r="V18" i="4" a="1"/>
  <c r="T19" i="4" a="1"/>
  <c r="BD14" i="14"/>
  <c r="BL20" i="14"/>
  <c r="T23" i="14" a="1"/>
  <c r="V14" i="14" a="1"/>
  <c r="BJ18" i="14" a="1"/>
  <c r="T21" i="4" a="1"/>
  <c r="AV17" i="13" a="1"/>
  <c r="AX22" i="14" a="1"/>
  <c r="AV21" i="14" a="1"/>
  <c r="AX20" i="13" a="1"/>
  <c r="BN20" i="4"/>
  <c r="BF16" i="13"/>
  <c r="AX16" i="4" a="1"/>
  <c r="BF14" i="14"/>
  <c r="BJ16" i="4" a="1"/>
  <c r="BD20" i="14"/>
  <c r="BN20" i="14"/>
  <c r="BL20" i="4"/>
  <c r="BJ14" i="14" a="1"/>
  <c r="BD22" i="13"/>
  <c r="BD16" i="4"/>
  <c r="T19" i="13" a="1"/>
  <c r="V22" i="14" a="1"/>
  <c r="T19" i="14" a="1"/>
  <c r="BF20" i="14"/>
  <c r="BL16" i="4"/>
  <c r="BF22" i="13"/>
  <c r="BH22" i="13" a="1"/>
  <c r="BF22" i="14"/>
  <c r="T17" i="4" a="1"/>
  <c r="AV17" i="4" a="1"/>
  <c r="BD14" i="13"/>
  <c r="BD18" i="13"/>
  <c r="T23" i="13" a="1"/>
  <c r="T21" i="13" a="1"/>
  <c r="BJ22" i="4" a="1"/>
  <c r="AX22" i="4" a="1"/>
  <c r="AX14" i="4" a="1"/>
  <c r="BF18" i="13"/>
  <c r="AT24" i="13"/>
  <c r="AP24" i="13"/>
  <c r="AX16" i="13"/>
  <c r="AT24" i="4"/>
  <c r="AT24" i="14"/>
  <c r="AP24" i="14"/>
  <c r="AP24" i="4"/>
  <c r="BH22" i="13"/>
  <c r="AX14" i="4"/>
  <c r="T19" i="4"/>
  <c r="V16" i="4"/>
  <c r="AX18" i="4"/>
  <c r="BB25" i="4"/>
  <c r="BB29" i="4" a="1"/>
  <c r="AX16" i="4"/>
  <c r="T21" i="4"/>
  <c r="L16" i="4"/>
  <c r="N16" i="4" a="1"/>
  <c r="N16" i="4"/>
  <c r="AX22" i="4"/>
  <c r="L22" i="14"/>
  <c r="N22" i="14" a="1"/>
  <c r="N22" i="14"/>
  <c r="AV21" i="14"/>
  <c r="AX20" i="14"/>
  <c r="BJ18" i="14"/>
  <c r="AX18" i="14"/>
  <c r="V20" i="14"/>
  <c r="BJ16" i="14"/>
  <c r="V16" i="14"/>
  <c r="G40" i="14"/>
  <c r="AV17" i="14"/>
  <c r="AV19" i="13"/>
  <c r="L14" i="13"/>
  <c r="N14" i="13" a="1"/>
  <c r="N14" i="13"/>
  <c r="AV17" i="13"/>
  <c r="BJ18" i="13"/>
  <c r="G40" i="13"/>
  <c r="AX14" i="13"/>
  <c r="V20" i="13"/>
  <c r="V16" i="13"/>
  <c r="BJ22" i="13"/>
  <c r="V20" i="4"/>
  <c r="L14" i="4"/>
  <c r="N14" i="4" a="1"/>
  <c r="N14" i="4"/>
  <c r="BJ16" i="4"/>
  <c r="G40" i="4"/>
  <c r="T15" i="4"/>
  <c r="V22" i="4"/>
  <c r="T17" i="4"/>
  <c r="AV19" i="14"/>
  <c r="T17" i="14"/>
  <c r="T23" i="14"/>
  <c r="V14" i="14"/>
  <c r="T21" i="14"/>
  <c r="L20" i="14"/>
  <c r="N20" i="14" a="1"/>
  <c r="N20" i="14"/>
  <c r="BJ14" i="14"/>
  <c r="AX22" i="14"/>
  <c r="BB25" i="13"/>
  <c r="BB29" i="13" a="1"/>
  <c r="T15" i="13"/>
  <c r="AX22" i="13"/>
  <c r="V14" i="13"/>
  <c r="AV15" i="13"/>
  <c r="BJ20" i="13"/>
  <c r="AX20" i="13"/>
  <c r="L20" i="13"/>
  <c r="N20" i="13" a="1"/>
  <c r="N20" i="13"/>
  <c r="AV15" i="4"/>
  <c r="BJ20" i="4"/>
  <c r="AX20" i="4"/>
  <c r="V14" i="4"/>
  <c r="AV19" i="4"/>
  <c r="AV17" i="4"/>
  <c r="BJ22" i="4"/>
  <c r="V18" i="4"/>
  <c r="AV23" i="4"/>
  <c r="L18" i="14"/>
  <c r="N18" i="14" a="1"/>
  <c r="N18" i="14"/>
  <c r="BJ22" i="14"/>
  <c r="BB25" i="14"/>
  <c r="BB29" i="14" a="1"/>
  <c r="BJ20" i="14"/>
  <c r="AX14" i="14"/>
  <c r="V22" i="14"/>
  <c r="L14" i="14"/>
  <c r="N14" i="14" a="1"/>
  <c r="N14" i="14"/>
  <c r="AX18" i="13"/>
  <c r="BJ16" i="13"/>
  <c r="BJ14" i="13"/>
  <c r="L18" i="13"/>
  <c r="N18" i="13" a="1"/>
  <c r="N18" i="13"/>
  <c r="T21" i="13"/>
  <c r="L16" i="13"/>
  <c r="N16" i="13" a="1"/>
  <c r="N16" i="13"/>
  <c r="N18" i="4" a="1"/>
  <c r="N18" i="4"/>
  <c r="L18" i="4"/>
  <c r="T23" i="4"/>
  <c r="AV21" i="4"/>
  <c r="BJ14" i="4"/>
  <c r="L22" i="4"/>
  <c r="N22" i="4" a="1"/>
  <c r="N22" i="4"/>
  <c r="N20" i="4" a="1"/>
  <c r="N20" i="4"/>
  <c r="L20" i="4"/>
  <c r="BJ18" i="4"/>
  <c r="V18" i="14"/>
  <c r="AV15" i="14"/>
  <c r="L16" i="14"/>
  <c r="N16" i="14" a="1"/>
  <c r="N16" i="14"/>
  <c r="T19" i="14"/>
  <c r="T15" i="14"/>
  <c r="AV23" i="14"/>
  <c r="L22" i="13"/>
  <c r="N22" i="13" a="1"/>
  <c r="N22" i="13"/>
  <c r="T17" i="13"/>
  <c r="AV23" i="13"/>
  <c r="T23" i="13"/>
  <c r="T19" i="13"/>
  <c r="AV21" i="13"/>
  <c r="V22" i="13"/>
  <c r="V18" i="13"/>
  <c r="AD14" i="14" a="1"/>
  <c r="Z18" i="14" a="1"/>
  <c r="AD20" i="4" a="1"/>
  <c r="Z22" i="4" a="1"/>
  <c r="AD14" i="13" a="1"/>
  <c r="Z18" i="13" a="1"/>
  <c r="Z16" i="13" a="1"/>
  <c r="Z14" i="4" a="1"/>
  <c r="Z20" i="4" a="1"/>
  <c r="AD16" i="13" a="1"/>
  <c r="AD14" i="4" a="1"/>
  <c r="AD16" i="4" a="1"/>
  <c r="AD20" i="14" a="1"/>
  <c r="Z14" i="13" a="1"/>
  <c r="Z14" i="14" a="1"/>
  <c r="G38" i="14" a="1"/>
  <c r="G38" i="13" a="1"/>
  <c r="I38" i="14" a="1"/>
  <c r="AD22" i="14" a="1"/>
  <c r="Z16" i="4" a="1"/>
  <c r="Z20" i="13" a="1"/>
  <c r="Z22" i="13" a="1"/>
  <c r="AD20" i="13" a="1"/>
  <c r="AD22" i="13" a="1"/>
  <c r="I38" i="4" a="1"/>
  <c r="AD18" i="13" a="1"/>
  <c r="Z20" i="14" a="1"/>
  <c r="BH20" i="13" a="1"/>
  <c r="Z18" i="4" a="1"/>
  <c r="Z22" i="14" a="1"/>
  <c r="AD18" i="14" a="1"/>
  <c r="AD18" i="4" a="1"/>
  <c r="G38" i="4" a="1"/>
  <c r="Z16" i="14" a="1"/>
  <c r="AD22" i="4" a="1"/>
  <c r="AX16" i="14" a="1"/>
  <c r="I38" i="13" a="1"/>
  <c r="AD16" i="14" a="1"/>
  <c r="R22" i="13" a="1"/>
  <c r="BH20" i="13"/>
  <c r="I38" i="4"/>
  <c r="I38" i="14"/>
  <c r="I38" i="13"/>
  <c r="AD16" i="13"/>
  <c r="BB29" i="13"/>
  <c r="P18" i="4"/>
  <c r="P22" i="13"/>
  <c r="P14" i="4"/>
  <c r="P20" i="14"/>
  <c r="P22" i="4"/>
  <c r="AD14" i="4"/>
  <c r="P16" i="14"/>
  <c r="P20" i="13"/>
  <c r="P18" i="13"/>
  <c r="P18" i="14"/>
  <c r="V24" i="14"/>
  <c r="P14" i="14"/>
  <c r="AD16" i="4"/>
  <c r="AD22" i="13"/>
  <c r="Z16" i="13"/>
  <c r="AX16" i="14"/>
  <c r="AX24" i="14"/>
  <c r="Z20" i="14"/>
  <c r="Z20" i="13"/>
  <c r="G38" i="14"/>
  <c r="AD18" i="14"/>
  <c r="Z16" i="4"/>
  <c r="G38" i="13"/>
  <c r="BB29" i="4"/>
  <c r="Z16" i="14"/>
  <c r="Z20" i="4"/>
  <c r="AD20" i="13"/>
  <c r="Z22" i="13"/>
  <c r="AD22" i="14"/>
  <c r="Z22" i="14"/>
  <c r="BB29" i="14"/>
  <c r="Z22" i="4"/>
  <c r="Z14" i="4"/>
  <c r="Z14" i="13"/>
  <c r="Z14" i="14"/>
  <c r="AD20" i="4"/>
  <c r="AD14" i="13"/>
  <c r="Z18" i="13"/>
  <c r="AD14" i="14"/>
  <c r="AD16" i="14"/>
  <c r="AD18" i="13"/>
  <c r="Z18" i="14"/>
  <c r="AD18" i="4"/>
  <c r="AD20" i="14"/>
  <c r="Z18" i="4"/>
  <c r="G38" i="4"/>
  <c r="AD22" i="4"/>
  <c r="R22" i="13"/>
  <c r="P20" i="4"/>
  <c r="AX24" i="4"/>
  <c r="V24" i="4"/>
  <c r="V24" i="13"/>
  <c r="P14" i="13"/>
  <c r="P22" i="14"/>
  <c r="P16" i="4"/>
  <c r="P16" i="13"/>
  <c r="AX24" i="13"/>
  <c r="BG18" i="13" a="1"/>
  <c r="BG14" i="13" a="1"/>
  <c r="BG16" i="13" a="1"/>
  <c r="BG22" i="4" a="1"/>
  <c r="BG20" i="4" a="1"/>
  <c r="BG18" i="4" a="1"/>
  <c r="BG16" i="4" a="1"/>
  <c r="BG22" i="14" a="1"/>
  <c r="BG20" i="14" a="1"/>
  <c r="BG18" i="14" a="1"/>
  <c r="BG16" i="14" a="1"/>
  <c r="BG14" i="4" a="1"/>
  <c r="BG14" i="14" a="1"/>
  <c r="BG11" i="13" a="1"/>
  <c r="BG11" i="4" a="1"/>
  <c r="R20" i="13" a="1"/>
  <c r="BH11" i="14" a="1"/>
  <c r="R20" i="13"/>
  <c r="AZ20" i="13"/>
  <c r="BG18" i="13"/>
  <c r="BG11" i="13"/>
  <c r="BG16" i="13"/>
  <c r="BG14" i="13"/>
  <c r="BG22" i="4"/>
  <c r="BG20" i="4"/>
  <c r="BG18" i="4"/>
  <c r="BG16" i="4"/>
  <c r="BG22" i="14"/>
  <c r="BG20" i="14"/>
  <c r="BG18" i="14"/>
  <c r="BG16" i="14"/>
  <c r="AD24" i="14"/>
  <c r="Z24" i="4"/>
  <c r="AZ22" i="13"/>
  <c r="BH11" i="14"/>
  <c r="BG14" i="14"/>
  <c r="BG14" i="4"/>
  <c r="BG11" i="4"/>
  <c r="P24" i="13"/>
  <c r="AD24" i="13"/>
  <c r="P24" i="14"/>
  <c r="Z24" i="14"/>
  <c r="Z24" i="13"/>
  <c r="P24" i="4"/>
  <c r="AD24" i="4"/>
  <c r="BH18" i="14" a="1"/>
  <c r="BH14" i="4" a="1"/>
  <c r="BH20" i="4" a="1"/>
  <c r="BH16" i="4" a="1"/>
  <c r="BH16" i="13" a="1"/>
  <c r="BH16" i="14" a="1"/>
  <c r="BH22" i="4" a="1"/>
  <c r="BH14" i="13" a="1"/>
  <c r="BH20" i="14" a="1"/>
  <c r="BH18" i="13" a="1"/>
  <c r="BH22" i="14" a="1"/>
  <c r="BH14" i="14" a="1"/>
  <c r="BH18" i="4" a="1"/>
  <c r="BH18" i="13"/>
  <c r="BH16" i="13"/>
  <c r="BH14" i="13"/>
  <c r="BH22" i="4"/>
  <c r="BH20" i="4"/>
  <c r="BH18" i="4"/>
  <c r="BH16" i="4"/>
  <c r="BH22" i="14"/>
  <c r="BH20" i="14"/>
  <c r="BH18" i="14"/>
  <c r="BH16" i="14"/>
  <c r="BH14" i="4"/>
  <c r="BH14" i="14"/>
  <c r="R16" i="13" a="1"/>
  <c r="R14" i="14" a="1"/>
  <c r="R18" i="13" a="1"/>
  <c r="R22" i="4" a="1"/>
  <c r="R18" i="4" a="1"/>
  <c r="R18" i="14" a="1"/>
  <c r="R20" i="4" a="1"/>
  <c r="R14" i="4" a="1"/>
  <c r="R20" i="14" a="1"/>
  <c r="R16" i="14" a="1"/>
  <c r="R16" i="4" a="1"/>
  <c r="R14" i="13" a="1"/>
  <c r="R22" i="14" a="1"/>
  <c r="R18" i="13"/>
  <c r="AZ18" i="13"/>
  <c r="R14" i="13"/>
  <c r="R16" i="13"/>
  <c r="AZ16" i="13"/>
  <c r="R22" i="4"/>
  <c r="AZ22" i="4"/>
  <c r="R20" i="4"/>
  <c r="AZ20" i="4"/>
  <c r="R18" i="4"/>
  <c r="AZ18" i="4"/>
  <c r="R16" i="4"/>
  <c r="AZ16" i="4"/>
  <c r="R22" i="14"/>
  <c r="AZ22" i="14"/>
  <c r="R20" i="14"/>
  <c r="AZ20" i="14"/>
  <c r="R18" i="14"/>
  <c r="AZ18" i="14"/>
  <c r="R16" i="14"/>
  <c r="AZ16" i="14"/>
  <c r="R14" i="4"/>
  <c r="R14" i="14"/>
  <c r="AZ14" i="13"/>
  <c r="AZ24" i="13"/>
  <c r="E40" i="13"/>
  <c r="R24" i="13"/>
  <c r="R24" i="14"/>
  <c r="AZ14" i="14"/>
  <c r="AZ24" i="14"/>
  <c r="E40" i="14"/>
  <c r="R24" i="4"/>
  <c r="AZ14" i="4"/>
  <c r="AZ24" i="4"/>
  <c r="E4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<sst xmlns="http://schemas.openxmlformats.org/spreadsheetml/2006/main" count="665" uniqueCount="462">
  <si>
    <t>TARIFS LFIZ 2025.2026</t>
  </si>
  <si>
    <t>Frais de scolarité</t>
  </si>
  <si>
    <t>Maternelle</t>
  </si>
  <si>
    <t>Elémentaire</t>
  </si>
  <si>
    <t>Collège</t>
  </si>
  <si>
    <t>Lycée</t>
  </si>
  <si>
    <t>Tarif ordinaire</t>
  </si>
  <si>
    <t>pour les familles recevant une aide de leur employeur</t>
  </si>
  <si>
    <t>Tarifs réduits</t>
  </si>
  <si>
    <r>
      <rPr>
        <sz val="14"/>
        <color theme="0"/>
        <rFont val="Franklin Gothic Book"/>
        <family val="2"/>
      </rPr>
      <t>pour</t>
    </r>
    <r>
      <rPr>
        <b/>
        <sz val="14"/>
        <color theme="0"/>
        <rFont val="Franklin Gothic Book"/>
        <family val="2"/>
      </rPr>
      <t xml:space="preserve"> </t>
    </r>
    <r>
      <rPr>
        <sz val="14"/>
        <color theme="0"/>
        <rFont val="Franklin Gothic Book"/>
        <family val="2"/>
      </rPr>
      <t>familles non aidées par leurs employeurs</t>
    </r>
  </si>
  <si>
    <t>pour les familles non aidées et ayant 2 enfants au LFZ</t>
  </si>
  <si>
    <t>pour les familles non aidées et ayant 3 enfants au LFZ</t>
  </si>
  <si>
    <t>pour les familles non aidées et ayant des revenus  &lt; 210'000 CHF</t>
  </si>
  <si>
    <t>pour les familles non aidées ayant des revenus de &lt;210'000 CHF et 2 enfants au LFZ</t>
  </si>
  <si>
    <t>pour les familles non aidées, ayant des revenus de &lt;210'000 CHF et 3 enfants au LFZ</t>
  </si>
  <si>
    <t>Prime de fidélité applicable aux tarifs réduits pour toute scolarité de 6 années et plus consécutives</t>
  </si>
  <si>
    <t>Frais généraux</t>
  </si>
  <si>
    <t>Frais de cantine</t>
  </si>
  <si>
    <t xml:space="preserve">Pour les nouveaux </t>
  </si>
  <si>
    <t>FRAIS DE DOSSIER, par enfant</t>
  </si>
  <si>
    <t>DROIT D'ENTREE, par enfant</t>
  </si>
  <si>
    <t>DP4 par an*</t>
  </si>
  <si>
    <t>Dépôt de garantie</t>
  </si>
  <si>
    <t>DP5 par an*</t>
  </si>
  <si>
    <t>Pour les élèves déjà scolarisés au LFZ</t>
  </si>
  <si>
    <t>Pique-nique</t>
  </si>
  <si>
    <t>à l'unité</t>
  </si>
  <si>
    <t>CHF 12,50</t>
  </si>
  <si>
    <t>Frais de livres / matériels 
(pour tous les élèves)
Y compris les frais de tablettes</t>
  </si>
  <si>
    <t>MATERNELLE</t>
  </si>
  <si>
    <t>* Prix sur la base d'une inscription annuelle, y compris la surveillance (540 CHF pour un DP4, 680 CHF pour un DP5 ) et les repas (prix unitaire fixé par le prestataire ZFV: 11 CHF)</t>
  </si>
  <si>
    <t>ELEMENTAIRE</t>
  </si>
  <si>
    <t>COLLEGE</t>
  </si>
  <si>
    <t>LYCEE</t>
  </si>
  <si>
    <t>Participation aux frais de navette</t>
  </si>
  <si>
    <t>Demi-pension (coût des repas)</t>
  </si>
  <si>
    <t>Navette</t>
  </si>
  <si>
    <r>
      <t>Participation</t>
    </r>
    <r>
      <rPr>
        <b/>
        <sz val="14"/>
        <color theme="0" tint="-0.499984740745262"/>
        <rFont val="Franklin Gothic Book"/>
        <family val="2"/>
      </rPr>
      <t xml:space="preserve"> par enfant</t>
    </r>
    <r>
      <rPr>
        <sz val="14"/>
        <color theme="0" tint="-0.499984740745262"/>
        <rFont val="Franklin Gothic Book"/>
        <family val="2"/>
      </rPr>
      <t>/ par semestre</t>
    </r>
  </si>
  <si>
    <t>Prix unitaire d'un repas (dans le cadre d'un forfait) 
sur le base des tarifs du prestataire ZFV</t>
  </si>
  <si>
    <t>Frais de services hors temps scolaire (HORT)</t>
  </si>
  <si>
    <t xml:space="preserve">Garderie </t>
  </si>
  <si>
    <t>Inscription au semestre 1 créneau de 1h15 (de 15h45 à 17h ou 14h45 à 16h)</t>
  </si>
  <si>
    <t>Etude dirigée prix/semestre</t>
  </si>
  <si>
    <t>Inscription au semestre, prix dégressif</t>
  </si>
  <si>
    <t>Inscription au semestre 1 créneau de 1h</t>
  </si>
  <si>
    <t>1 séance par semaine</t>
  </si>
  <si>
    <t>heure de garderie exceptionnelle</t>
  </si>
  <si>
    <t>2 séances par semaine</t>
  </si>
  <si>
    <t xml:space="preserve">Mercredis récréatifs </t>
  </si>
  <si>
    <t>inscription au semestre</t>
  </si>
  <si>
    <t>3 séances par semaine</t>
  </si>
  <si>
    <t>1 séance exceptionnelle</t>
  </si>
  <si>
    <t>4 séances par semaine</t>
  </si>
  <si>
    <t>centre aéré</t>
  </si>
  <si>
    <t>prix par semaine</t>
  </si>
  <si>
    <t>Activités prix/semestre</t>
  </si>
  <si>
    <t>1 activité</t>
  </si>
  <si>
    <t>entre 320 et 390 CHF</t>
  </si>
  <si>
    <t>Prix par semestre</t>
  </si>
  <si>
    <t xml:space="preserve"> y compris frais de matériel</t>
  </si>
  <si>
    <t>Simulateur de tarifs LFIZ</t>
  </si>
  <si>
    <t>2025-2026</t>
  </si>
  <si>
    <t>*Champs obligatoires</t>
  </si>
  <si>
    <t>Scolarité</t>
  </si>
  <si>
    <t>Services périscolaires</t>
  </si>
  <si>
    <t>Niveau*</t>
  </si>
  <si>
    <t>Ancienneté au LFIZ*</t>
  </si>
  <si>
    <t>Droits d'entrée</t>
  </si>
  <si>
    <t>Frais de dossier</t>
  </si>
  <si>
    <t>Total des frais administratifs</t>
  </si>
  <si>
    <t>Total frais de scolarité (incl. livres &amp; matériel)</t>
  </si>
  <si>
    <t>Cantine</t>
  </si>
  <si>
    <t>Étude dirigée</t>
  </si>
  <si>
    <t>Garderie</t>
  </si>
  <si>
    <t>HTS (1)</t>
  </si>
  <si>
    <t>Mercredis récréatifs</t>
  </si>
  <si>
    <t>Total enfant</t>
  </si>
  <si>
    <t>Sous réserve de places disponibles</t>
  </si>
  <si>
    <t>Calcul ancienneté</t>
  </si>
  <si>
    <t>Calcul Tarif Niveau</t>
  </si>
  <si>
    <t>Calcul Tarif Réduit</t>
  </si>
  <si>
    <t>Contrôle Entrées Cantine</t>
  </si>
  <si>
    <t>Calcul Régime Cantine</t>
  </si>
  <si>
    <t>Calcul Étude dirigée</t>
  </si>
  <si>
    <t>Garderie Lundi 1h</t>
  </si>
  <si>
    <t>Garderie Lundi 1h15</t>
  </si>
  <si>
    <t>Garderie Mardi 1h</t>
  </si>
  <si>
    <t>Garderie Mardi 1h15</t>
  </si>
  <si>
    <t>Garderie Mercredi 1h</t>
  </si>
  <si>
    <t>Garderie Mercredi 1h15</t>
  </si>
  <si>
    <t>Garderie Jeudi 1h</t>
  </si>
  <si>
    <t>Garderie Jeudi 1h15</t>
  </si>
  <si>
    <t>Garderie Vendredi 1h</t>
  </si>
  <si>
    <t>Garderie Vendredi 1h15</t>
  </si>
  <si>
    <t>Total Garderie 1h</t>
  </si>
  <si>
    <t>Total Garderie 1h15</t>
  </si>
  <si>
    <t>Régime de cantine</t>
  </si>
  <si>
    <t>Nombre de séance(s)</t>
  </si>
  <si>
    <t>Lundi</t>
  </si>
  <si>
    <t>Mardi</t>
  </si>
  <si>
    <t>Mercredi</t>
  </si>
  <si>
    <t>Jeudi</t>
  </si>
  <si>
    <t>Vendredi</t>
  </si>
  <si>
    <t>Nombre d'activités</t>
  </si>
  <si>
    <t>Enfant 1</t>
  </si>
  <si>
    <t>Oui</t>
  </si>
  <si>
    <t>12:00 - 14:00</t>
  </si>
  <si>
    <t>Enfant 2</t>
  </si>
  <si>
    <t>Enfant 3</t>
  </si>
  <si>
    <t>Enfant 4</t>
  </si>
  <si>
    <t>Enfant 5</t>
  </si>
  <si>
    <t>Nombre d'enfants scolarisés au LFZ</t>
  </si>
  <si>
    <t>(1) Hors frais de matériel</t>
  </si>
  <si>
    <t>Calcul Tarif</t>
  </si>
  <si>
    <t>Pouvez-vous prétendre à un tarif réduit (sur justificatifs) ?</t>
  </si>
  <si>
    <t>Votre employeur paie en totalité ou partiellement les frais de scolarité de vos enfants*</t>
  </si>
  <si>
    <t>Les revenus annuels de votre famille sont supérieurs à 210'000 CHF*</t>
  </si>
  <si>
    <t>Dépôt de garantie (par famille)</t>
  </si>
  <si>
    <t>Total CHF pour l'année</t>
  </si>
  <si>
    <t>English</t>
  </si>
  <si>
    <t>Deutsch</t>
  </si>
  <si>
    <t>FARES LFZ 2025-2026</t>
  </si>
  <si>
    <t>Tuition fees</t>
  </si>
  <si>
    <t>Kindergarten</t>
  </si>
  <si>
    <t>Elementary</t>
  </si>
  <si>
    <t>Middle School</t>
  </si>
  <si>
    <t>High School</t>
  </si>
  <si>
    <t>Regular rate</t>
  </si>
  <si>
    <t>for families receiving assistance from their employer</t>
  </si>
  <si>
    <t>Reduced rates</t>
  </si>
  <si>
    <t>for families not helped by their employers</t>
  </si>
  <si>
    <t>for non-assisted families with 2 children at LFZ</t>
  </si>
  <si>
    <t>for non-assisted families with 3 children at LFZ</t>
  </si>
  <si>
    <t>for non-assisted families with income &lt; CHF 210,000</t>
  </si>
  <si>
    <t>for non-assisted families with income of &lt;210,000 CHF and 2 children at LFZ</t>
  </si>
  <si>
    <t>for non-assisted families with income of &lt;210,000 CHF and 3 children at LFZ</t>
  </si>
  <si>
    <t>Overheads</t>
  </si>
  <si>
    <t xml:space="preserve">Canteen fees - OPTIONAL	</t>
  </si>
  <si>
    <t xml:space="preserve">For newcomers </t>
  </si>
  <si>
    <t>APPLICATION FEES, per child</t>
  </si>
  <si>
    <t xml:space="preserve">ENTRY FEE, per child </t>
  </si>
  <si>
    <t>DP4 per year*</t>
  </si>
  <si>
    <t>Security deposit</t>
  </si>
  <si>
    <t>DP5 per year*</t>
  </si>
  <si>
    <t>For students already enrolled at the LFZ</t>
  </si>
  <si>
    <t>Picnic</t>
  </si>
  <si>
    <t>per unit</t>
  </si>
  <si>
    <t>Cost of books / materials 
(for all students)
Including tablet costs</t>
  </si>
  <si>
    <t>KINDERGARTEN</t>
  </si>
  <si>
    <t>* Prices based on annual registration, including supervision (CHF 540 for DP4, CHF 680 for DP5) and meals (unit price set by ZFV: CHF 11).</t>
  </si>
  <si>
    <t>ELEMENTARY</t>
  </si>
  <si>
    <t>MIDDLE SCHOOL</t>
  </si>
  <si>
    <t>HIGH SCHOOL</t>
  </si>
  <si>
    <t xml:space="preserve">Fees for out-of-school time services (HORT) - OPTIONAL	</t>
  </si>
  <si>
    <t>Child-care</t>
  </si>
  <si>
    <t>Semester registration 1 x 1h15 slot (3.45pm to 5pm or 2.45pm to 4pm)</t>
  </si>
  <si>
    <t>Study-hall price/semester</t>
  </si>
  <si>
    <t>Semester registration, sliding scale price</t>
  </si>
  <si>
    <t>Semester registration 1 slot of 1h</t>
  </si>
  <si>
    <t>1 session per week</t>
  </si>
  <si>
    <t>single hour of childcare</t>
  </si>
  <si>
    <t>2 sessions per week</t>
  </si>
  <si>
    <t>semester registration</t>
  </si>
  <si>
    <t>3 sessions per week</t>
  </si>
  <si>
    <t>one time session</t>
  </si>
  <si>
    <t>4 sessions per week</t>
  </si>
  <si>
    <t>multi activites camp</t>
  </si>
  <si>
    <t>price per week</t>
  </si>
  <si>
    <t>Activities prices/semester</t>
  </si>
  <si>
    <t>1 activity</t>
  </si>
  <si>
    <t>between CHF 320 and 390</t>
  </si>
  <si>
    <t>Price per semester</t>
  </si>
  <si>
    <t xml:space="preserve"> including material costs</t>
  </si>
  <si>
    <t>LFIZ Price simulator</t>
  </si>
  <si>
    <t>*Compulsory fields</t>
  </si>
  <si>
    <t>Out-of-school time services</t>
  </si>
  <si>
    <t>School Levels*</t>
  </si>
  <si>
    <t>LFIZ seniority *</t>
  </si>
  <si>
    <t>Entry fees</t>
  </si>
  <si>
    <t>Application fees</t>
  </si>
  <si>
    <t>Total administrative expenses</t>
  </si>
  <si>
    <t>Total tuition fees</t>
  </si>
  <si>
    <t>shuttle bus</t>
  </si>
  <si>
    <t>Canteen</t>
  </si>
  <si>
    <t>Study-hall</t>
  </si>
  <si>
    <t>Activities (1)</t>
  </si>
  <si>
    <t>Recreational Wednesday</t>
  </si>
  <si>
    <t xml:space="preserve">Total for this child </t>
  </si>
  <si>
    <t>Subject to availability</t>
  </si>
  <si>
    <t>Number of meals per week</t>
  </si>
  <si>
    <t>Number of sessions</t>
  </si>
  <si>
    <t>Monday</t>
  </si>
  <si>
    <t>Tuesday</t>
  </si>
  <si>
    <t>Wednesday</t>
  </si>
  <si>
    <t>Thursday</t>
  </si>
  <si>
    <t>Friday</t>
  </si>
  <si>
    <t>Number of activities</t>
  </si>
  <si>
    <t>Child 1</t>
  </si>
  <si>
    <t>Re-registration (return to LFIZ after a period of absence)</t>
  </si>
  <si>
    <t>3 times a week</t>
  </si>
  <si>
    <t>Child 2</t>
  </si>
  <si>
    <t>Child 3</t>
  </si>
  <si>
    <t>Child 4</t>
  </si>
  <si>
    <t>Child 5</t>
  </si>
  <si>
    <t>Number of children enrolled at LFZ</t>
  </si>
  <si>
    <t>(1) Excluding materials costs</t>
  </si>
  <si>
    <t>Are you eligible to a reduced fare (with supporting documents)?</t>
  </si>
  <si>
    <t>Your employer pays all or part of your children's school fees*</t>
  </si>
  <si>
    <t>No</t>
  </si>
  <si>
    <t>Your family annual income exceeds CHF 210,000*</t>
  </si>
  <si>
    <t>Yes</t>
  </si>
  <si>
    <t>Security deposit (per family)</t>
  </si>
  <si>
    <t>Total for the year</t>
  </si>
  <si>
    <t>Français</t>
  </si>
  <si>
    <t>LFZ TARIFE 2025-2026</t>
  </si>
  <si>
    <t>Schulgebühren</t>
  </si>
  <si>
    <t>Primarstufe</t>
  </si>
  <si>
    <t>Sekundarstufe 1</t>
  </si>
  <si>
    <t>Sekundarstufe 2</t>
  </si>
  <si>
    <t>Normaler Preis</t>
  </si>
  <si>
    <t>für Familien, die Unterstützung von ihrem Arbeitgeber erhalten</t>
  </si>
  <si>
    <t>Ermässigte Preise</t>
  </si>
  <si>
    <t>für Familien, die nicht von ihren Arbeitgebern unterstützt werden</t>
  </si>
  <si>
    <t>für Familien, die nicht unterstützt werden und 2 Kinder im LFZ haben</t>
  </si>
  <si>
    <t>für Familien, die nicht unterstützt werden und 3 Kinder im LFZ haben</t>
  </si>
  <si>
    <t>für Familien, die nicht unterstützt werden und ein Einkommen &lt; 210'000 CHF haben</t>
  </si>
  <si>
    <t>für nicht unterstützte Familien mit einem Einkommen von &lt;210'000 CHF und 2 Kindern im LFZ</t>
  </si>
  <si>
    <t>für nicht unterstützte Familien mit einem Einkommen von &lt;210'000 CHF und 3 Kindern im LFZ</t>
  </si>
  <si>
    <t>Allgemeine Kosten</t>
  </si>
  <si>
    <t>Kosten für die Kantine - FAKULTATIV</t>
  </si>
  <si>
    <t>Für neue Schülerinnen und Schüler</t>
  </si>
  <si>
    <t xml:space="preserve">BEARBEITUNGSGEBÜHREN, pro Kind </t>
  </si>
  <si>
    <t>Sekundarstufe I</t>
  </si>
  <si>
    <t>Sekundarstufe II</t>
  </si>
  <si>
    <t>EINTRITTSGEBÜHR, pro Kind</t>
  </si>
  <si>
    <t>DP4 pro Jahr*</t>
  </si>
  <si>
    <t>Kaution</t>
  </si>
  <si>
    <t>DP5 pro Jahr*</t>
  </si>
  <si>
    <t>Für Schülerinnen und Schüler, die bereits am LFZ eingeschult sind</t>
  </si>
  <si>
    <t>BEARBEITUNGSGEBÜHREN, pro Kind</t>
  </si>
  <si>
    <t>Picknick</t>
  </si>
  <si>
    <t>pro Einheit</t>
  </si>
  <si>
    <t>Kosten für Bücher / Schilbedarf (für alle Schülerinnen und Schüler)
Inklusiv der Kosten für Ipads</t>
  </si>
  <si>
    <t>* Preis auf der Grundlage einer jährlichen Anmeldung, Inklusiv Aufsicht (540 CHF für einen DP4, 680 CHF für einen DP5) und Mahlzeiten (vom ZFV-Anbieter festgelegter Preis pro Einheit: 11 CHF).</t>
  </si>
  <si>
    <t>PRIMARSTUFE</t>
  </si>
  <si>
    <t>SEKUNDARSTUFE I</t>
  </si>
  <si>
    <t>SEKUNDARSTUFE II</t>
  </si>
  <si>
    <t>Kosten für Dienstleistungen ausserhalb der Schulzeit (HORT) - FAKULTATIV</t>
  </si>
  <si>
    <t>Betreuung</t>
  </si>
  <si>
    <t>Einschreibung pro Semester, ein Zeitfenster von 1h15 (von 15:45 bis 17:00 Uhr oder 14:45 bis 16:00 Uhr)</t>
  </si>
  <si>
    <t>Hausaufgabenhilfe Preis/Semester</t>
  </si>
  <si>
    <t>Einschreibung pro Semester, gestaffelter Preis</t>
  </si>
  <si>
    <t>Einschreibung pro Semester, ein Zeitfenster von 1 Stunde</t>
  </si>
  <si>
    <t>1 Sitzung pro Woche</t>
  </si>
  <si>
    <t>Einzelne Stunde</t>
  </si>
  <si>
    <t>2 Sitzungen pro Woche</t>
  </si>
  <si>
    <t>Semestereinschreibung</t>
  </si>
  <si>
    <t>3 Sitzungen pro Woche</t>
  </si>
  <si>
    <t>Einzelne Sitzung Sitzung</t>
  </si>
  <si>
    <t>4 Sitzungen pro Woche</t>
  </si>
  <si>
    <t>Ferien Camp</t>
  </si>
  <si>
    <t>Preis pro Woche</t>
  </si>
  <si>
    <t>Aktivitäten Preis/Semester</t>
  </si>
  <si>
    <t>1 Aktivität</t>
  </si>
  <si>
    <t>zwischen 320 und 390 CHF</t>
  </si>
  <si>
    <t>Schulbus</t>
  </si>
  <si>
    <t>Preis pro Semester</t>
  </si>
  <si>
    <t>Inklusiv Materialkosten</t>
  </si>
  <si>
    <t>LFIZ Tarifsimulator</t>
  </si>
  <si>
    <t>*Pflichtfelder</t>
  </si>
  <si>
    <t>Schulbildung</t>
  </si>
  <si>
    <t>Ausserschulische Dienste</t>
  </si>
  <si>
    <t>Stufe*</t>
  </si>
  <si>
    <t>Dienstalter im LFIZ*</t>
  </si>
  <si>
    <t>Eintrittsgebühren</t>
  </si>
  <si>
    <t>Bearbeitungsgebühr</t>
  </si>
  <si>
    <t>Verwaltungskosten insgesamt</t>
  </si>
  <si>
    <t>Gesamte Schulgebühren</t>
  </si>
  <si>
    <t>Kantine</t>
  </si>
  <si>
    <t>Hausaufgabenhilfe</t>
  </si>
  <si>
    <t>Dienstleistungen ausserhalb der Schulzeit (HORT) (1)</t>
  </si>
  <si>
    <t>Mittwochnachmittag</t>
  </si>
  <si>
    <t>Vorbehaltlich verfügbarer Plätze</t>
  </si>
  <si>
    <t>Anzahl der Mahlzeiten pro Woche</t>
  </si>
  <si>
    <t>Anzahl der Sitzung(en)</t>
  </si>
  <si>
    <t>Montag</t>
  </si>
  <si>
    <t>Dienstag</t>
  </si>
  <si>
    <t>Mittwoch</t>
  </si>
  <si>
    <t>Donnerstag</t>
  </si>
  <si>
    <t>Freitag</t>
  </si>
  <si>
    <t>Anzahl der Aktivitäten</t>
  </si>
  <si>
    <t>Kind 1</t>
  </si>
  <si>
    <t>Wiederanmeldung (letztes Jahr bei LFZ registriert)</t>
  </si>
  <si>
    <t>Kind 2</t>
  </si>
  <si>
    <t>Erste Anmeldung</t>
  </si>
  <si>
    <t>Kind 3</t>
  </si>
  <si>
    <t>Kind 4</t>
  </si>
  <si>
    <t>Kind 5</t>
  </si>
  <si>
    <t>Anzahl der Kinder, die am LFZ eingeschult werden</t>
  </si>
  <si>
    <t>(1) Ausser Materialkosten</t>
  </si>
  <si>
    <t>Haben Sie Anspruch auf einen ermässigten Preis (gegen Nachweis)?</t>
  </si>
  <si>
    <t>Ihr Arbeitgeber zahlt ganz oder teilweise die Schulgebühren für Ihre Kinder*</t>
  </si>
  <si>
    <t>Nein</t>
  </si>
  <si>
    <t>Das Jahreseinkommen Ihrer Familie beträgt mehr als 210.000 CHF*</t>
  </si>
  <si>
    <t>Ja</t>
  </si>
  <si>
    <t>Kaution (pro Familie)</t>
  </si>
  <si>
    <t>Gesamt Betrag für das Jahr</t>
  </si>
  <si>
    <t>Ne pas modifier les textes en gris</t>
  </si>
  <si>
    <t>Les textes en bleus sont à traduire</t>
  </si>
  <si>
    <t>FR</t>
  </si>
  <si>
    <t>FR_Niveaux</t>
  </si>
  <si>
    <t>FR_Inscription</t>
  </si>
  <si>
    <t>FR_Oui_Non</t>
  </si>
  <si>
    <t>FR_Régime_Cantine</t>
  </si>
  <si>
    <t>FR_Étude_dirigée</t>
  </si>
  <si>
    <t>FR_Garderie_Lundi</t>
  </si>
  <si>
    <t>1h</t>
  </si>
  <si>
    <t>1h15</t>
  </si>
  <si>
    <t>FR_Garderie_Mardi</t>
  </si>
  <si>
    <t>FR_Garderie_Mercredi</t>
  </si>
  <si>
    <t>FR_Garderie_Jeudi</t>
  </si>
  <si>
    <t>FR_Garderie_Vendredi</t>
  </si>
  <si>
    <t>FR_HORT</t>
  </si>
  <si>
    <t>FR_Mercredi_Récréatif</t>
  </si>
  <si>
    <t>ERR</t>
  </si>
  <si>
    <t>Information</t>
  </si>
  <si>
    <t>FR_Maternelle</t>
  </si>
  <si>
    <t>FR_Liste_Oui_Non_Ne_souhaite_pas_répondre</t>
  </si>
  <si>
    <t>FR_Régime_Cantine_Maternelle</t>
  </si>
  <si>
    <t>15:45 - 17:00</t>
  </si>
  <si>
    <t>12:00 - 13:00</t>
  </si>
  <si>
    <t>14:45 - 16:00</t>
  </si>
  <si>
    <t>FR_Élémentaire</t>
  </si>
  <si>
    <t>FR_Régime_Cantine_Élémentaire</t>
  </si>
  <si>
    <t>15:45 - 18:00</t>
  </si>
  <si>
    <t>14:45 - 17:00</t>
  </si>
  <si>
    <t>FR_ERR_Non_proposé_pour_lycée</t>
  </si>
  <si>
    <t>FR_INFO_Dépôt_de_garantie_déjà_versé</t>
  </si>
  <si>
    <t>FR_Collège</t>
  </si>
  <si>
    <t>17:00 - 18:00</t>
  </si>
  <si>
    <t>13:00 - 14:00</t>
  </si>
  <si>
    <t>14:45 - 18:00</t>
  </si>
  <si>
    <t>Indisponible pour le Lycée</t>
  </si>
  <si>
    <t>Réglé lors de la première inscription</t>
  </si>
  <si>
    <t>FR_Lycée</t>
  </si>
  <si>
    <t>FR_Régime_Cantine_Collège_Lycée</t>
  </si>
  <si>
    <t>16:00 - 17:00</t>
  </si>
  <si>
    <t>FR_ERR_Non_proposé_pour_secondaire</t>
  </si>
  <si>
    <t>FR_INFO_Dépôt_de_garantie_à_verser_lors_de_la_première_inscription</t>
  </si>
  <si>
    <t>Première inscription</t>
  </si>
  <si>
    <t>PremInscription</t>
  </si>
  <si>
    <t>Tarif ordinaire pour les familles recevant une aide de leur employeur</t>
  </si>
  <si>
    <t>TO</t>
  </si>
  <si>
    <t>Externe</t>
  </si>
  <si>
    <t>EXT</t>
  </si>
  <si>
    <t>1_séance</t>
  </si>
  <si>
    <t>16:00 - 18:00</t>
  </si>
  <si>
    <t>À régler lors de l'inscription</t>
  </si>
  <si>
    <t>Élémentaire</t>
  </si>
  <si>
    <t>Réinscription (scolarisé au LFZ l'année passée)</t>
  </si>
  <si>
    <t>Réinscription</t>
  </si>
  <si>
    <t>Tarif réduit pour familles non aidées par leurs employeurs</t>
  </si>
  <si>
    <t>TR1</t>
  </si>
  <si>
    <t>Non</t>
  </si>
  <si>
    <t>Demi-pensionnaire 4 jours par semaine</t>
  </si>
  <si>
    <t>DP4</t>
  </si>
  <si>
    <t>2_séances</t>
  </si>
  <si>
    <t>FR_ERR_Données_oligatoires_manquantes</t>
  </si>
  <si>
    <t>Réinscription (retour au LFIZ après une période d'absence)</t>
  </si>
  <si>
    <t>RéinscriptionAprèsDépart</t>
  </si>
  <si>
    <t>Ne souhaite pas répondre</t>
  </si>
  <si>
    <t>Demi-pensionnaire 5 jours par semaine</t>
  </si>
  <si>
    <t>DP5</t>
  </si>
  <si>
    <t>3_séances</t>
  </si>
  <si>
    <t>Saisir niveau et ancienneté pour tous les enfants</t>
  </si>
  <si>
    <t>Revenues &lt; 210'000 CHF annuel sur justificatifs</t>
  </si>
  <si>
    <t>TR123</t>
  </si>
  <si>
    <t>PN</t>
  </si>
  <si>
    <t>4_séances</t>
  </si>
  <si>
    <t>FR_ERR_Données_tarifs_réduits_manquantes</t>
  </si>
  <si>
    <t>Revenues &gt; 210'000 CHF annuel</t>
  </si>
  <si>
    <t>TR456</t>
  </si>
  <si>
    <t>Saisir les données de tarifs réduits pour obtenir un total valide</t>
  </si>
  <si>
    <t>FR_ERR_Seulement_pour_élémentaire</t>
  </si>
  <si>
    <t>EN_Régime_Cantine_Maternelle</t>
  </si>
  <si>
    <t>EN_Garderie_Lundi</t>
  </si>
  <si>
    <t>EN_Garderie_Mardi</t>
  </si>
  <si>
    <t>EN_Garderie_Mercredi</t>
  </si>
  <si>
    <t>EN_Garderie_Jeudi</t>
  </si>
  <si>
    <t>EN_Garderie_Vendredi</t>
  </si>
  <si>
    <t>EN_Régime_Cantine_Élémentaire</t>
  </si>
  <si>
    <t>EN_ERR_Non_proposé_pour_lycée</t>
  </si>
  <si>
    <t>EN_INFO_Dépôt_de_garantie_déjà_versé</t>
  </si>
  <si>
    <t>EN_Niveaux</t>
  </si>
  <si>
    <t>EN_Inscription</t>
  </si>
  <si>
    <t>EN_Oui_Non</t>
  </si>
  <si>
    <t>EN_Régime_Cantine_Collège_Lycée</t>
  </si>
  <si>
    <t>Not available for High School</t>
  </si>
  <si>
    <t>Already paid on first registration</t>
  </si>
  <si>
    <t>Anglais</t>
  </si>
  <si>
    <t>First registration</t>
  </si>
  <si>
    <t>Extern</t>
  </si>
  <si>
    <t>Once a week</t>
  </si>
  <si>
    <t>EN_ERR_Non_proposé_pour_secondaire</t>
  </si>
  <si>
    <t>EN_INFO_Dépôt_de_garantie_à_verser_lors_de_la_première_inscription</t>
  </si>
  <si>
    <t>New registration (registered at LFZ last year)</t>
  </si>
  <si>
    <t>Half board 4 days a week</t>
  </si>
  <si>
    <t>Twice a week</t>
  </si>
  <si>
    <t>To be paid on registration</t>
  </si>
  <si>
    <t>I don't want to say</t>
  </si>
  <si>
    <t>Half board 5 days a week</t>
  </si>
  <si>
    <t>EN_ERR_Données_oligatoires_manquantes</t>
  </si>
  <si>
    <t>4 times a week</t>
  </si>
  <si>
    <t>Enter level and number of consecutive years in the LFIZ for all children</t>
  </si>
  <si>
    <t>EN_ERR_Données_tarifs_réduits_manquantes</t>
  </si>
  <si>
    <t>Enter the discounted fare data to obtain a valid total</t>
  </si>
  <si>
    <t>EN_ERR_Seulement_pour_élémentaire</t>
  </si>
  <si>
    <t>Elementary only</t>
  </si>
  <si>
    <t>DE_Régime_Cantine_Maternelle</t>
  </si>
  <si>
    <t>DE_Garderie_Lundi</t>
  </si>
  <si>
    <t>DE_Garderie_Mardi</t>
  </si>
  <si>
    <t>DE_Garderie_Mercredi</t>
  </si>
  <si>
    <t>DE_Garderie_Jeudi</t>
  </si>
  <si>
    <t>DE_Garderie_Vendredi</t>
  </si>
  <si>
    <t>DE_ERR_Non_proposé_pour_lycée</t>
  </si>
  <si>
    <t>DE_INFO_Dépôt_de_garantie_déjà_versé</t>
  </si>
  <si>
    <t>DE_Régime_Cantine_Élémentaire</t>
  </si>
  <si>
    <t>Nicht verfügbar für Sekundarstuffe 2</t>
  </si>
  <si>
    <t>Bei der ersten Anmeldung schon eingestellt</t>
  </si>
  <si>
    <t>DE_Niveaux</t>
  </si>
  <si>
    <t>DE_Inscription</t>
  </si>
  <si>
    <t>DE_Oui_Non</t>
  </si>
  <si>
    <t>DE_Régime_Cantine_Collège_Lycée</t>
  </si>
  <si>
    <t>DE_ERR_Non_proposé_pour_secondaire</t>
  </si>
  <si>
    <t>DE_INFO_Dépôt_de_garantie_à_verser_lors_de_la_première_inscription</t>
  </si>
  <si>
    <t>Allemand</t>
  </si>
  <si>
    <t>Bei der Anmeldung zu bezahlen</t>
  </si>
  <si>
    <t>Halbpension 4 Tage pro Woche</t>
  </si>
  <si>
    <t>DE_ERR_Données_oligatoires_manquantes</t>
  </si>
  <si>
    <t>Wiederanmeldung (Rückkehr zum LFIZ nach einer Abwesenheitszeit)</t>
  </si>
  <si>
    <t>Halbpension 5 Tage pro Woche</t>
  </si>
  <si>
    <t>Geben Sie für alle Kinder das Niveau und die Anzahl der aufeinanderfolgenden Jahre im LFIZ an</t>
  </si>
  <si>
    <t>DE_ERR_Données_tarifs_réduits_manquantes</t>
  </si>
  <si>
    <t>Geben Sie die Daten des ermäßigten Tarifs ein, um eine gültige Gesamtsumme zu erhalten</t>
  </si>
  <si>
    <t>DE_ERR_Seulement_pour_élémentaire</t>
  </si>
  <si>
    <t xml:space="preserve">Note: </t>
  </si>
  <si>
    <t>Création des Feuilles EN et DE</t>
  </si>
  <si>
    <t>Dupliquer la Feuille FR</t>
  </si>
  <si>
    <t>Renommer la cellule BB28</t>
  </si>
  <si>
    <t>Renommer la cellule E23</t>
  </si>
  <si>
    <t>Refaire les liens entre les feuilles</t>
  </si>
  <si>
    <t>DE</t>
  </si>
  <si>
    <t>EN</t>
  </si>
  <si>
    <t>Adapter la langue par tab dans la cell B4 (FR | EN | DE)</t>
  </si>
  <si>
    <t>Möchte nicht antworten</t>
  </si>
  <si>
    <t>Commencez par renseigner les celleules I31 et I33</t>
  </si>
  <si>
    <t>Start by filling cells I31 and I33</t>
  </si>
  <si>
    <t>Füllen Sie zunächst die Zellen I31 und I33 aus</t>
  </si>
  <si>
    <t>Si réinscription, nombre d'années consécutives au LFIZ</t>
  </si>
  <si>
    <t>Number of consecutive years at LFIZ</t>
  </si>
  <si>
    <t>Anzahl der aufeinanderfolgenden Schuljahre im LFIZ</t>
  </si>
  <si>
    <t>Gesamt für dieses Kind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</si>
</sst>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_ [$CHF]\ * #,##0_ ;_ [$CHF]\ * \-#,##0_ ;_ [$CHF]\ * &quot;-&quot;_ ;_ @_ "/>
    <numFmt numFmtId="166" formatCode="0.0%"/>
    <numFmt numFmtId="167" formatCode="_ [$CHF]\ * #,##0.00_ ;_ [$CHF]\ * \-#,##0.00_ ;_ [$CHF]\ * &quot;-&quot;_ ;_ @_ "/>
    <numFmt numFmtId="168" formatCode="0.000"/>
  </numFmts>
  <fonts count="62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26"/>
      <color theme="0"/>
      <name val="Aptos Narrow"/>
      <family val="2"/>
      <scheme val="minor"/>
    </font>
    <font>
      <b/>
      <sz val="20"/>
      <color theme="0"/>
      <name val="Franklin Gothic Book"/>
      <family val="2"/>
    </font>
    <font>
      <sz val="11"/>
      <color theme="1"/>
      <name val="Franklin Gothic Book"/>
      <family val="2"/>
    </font>
    <font>
      <sz val="10"/>
      <color theme="1"/>
      <name val="Franklin Gothic Book"/>
      <family val="2"/>
    </font>
    <font>
      <b/>
      <sz val="16"/>
      <color theme="0"/>
      <name val="Franklin Gothic Book"/>
      <family val="2"/>
    </font>
    <font>
      <b/>
      <sz val="14"/>
      <color rgb="FFFFCC33"/>
      <name val="Franklin Gothic Book"/>
      <family val="2"/>
    </font>
    <font>
      <b/>
      <sz val="14"/>
      <color rgb="FF00CCFF"/>
      <name val="Franklin Gothic Book"/>
      <family val="2"/>
    </font>
    <font>
      <b/>
      <sz val="14"/>
      <color rgb="FFC94A34"/>
      <name val="Franklin Gothic Book"/>
      <family val="2"/>
    </font>
    <font>
      <b/>
      <sz val="14"/>
      <color rgb="FF4472C5"/>
      <name val="Franklin Gothic Book"/>
      <family val="2"/>
    </font>
    <font>
      <b/>
      <sz val="14"/>
      <color theme="0"/>
      <name val="Franklin Gothic Book"/>
      <family val="2"/>
    </font>
    <font>
      <sz val="14"/>
      <color theme="0"/>
      <name val="Franklin Gothic Book"/>
      <family val="2"/>
    </font>
    <font>
      <b/>
      <sz val="18"/>
      <color theme="0"/>
      <name val="Franklin Gothic Book"/>
      <family val="2"/>
    </font>
    <font>
      <sz val="14"/>
      <color rgb="FFFFCC33"/>
      <name val="Franklin Gothic Book"/>
      <family val="2"/>
    </font>
    <font>
      <sz val="14"/>
      <color rgb="FF00CCFF"/>
      <name val="Franklin Gothic Book"/>
      <family val="2"/>
    </font>
    <font>
      <sz val="14"/>
      <color rgb="FFC94A34"/>
      <name val="Franklin Gothic Book"/>
      <family val="2"/>
    </font>
    <font>
      <sz val="14"/>
      <color rgb="FF4472C5"/>
      <name val="Franklin Gothic Book"/>
      <family val="2"/>
    </font>
    <font>
      <b/>
      <sz val="14"/>
      <color theme="1"/>
      <name val="Franklin Gothic Book"/>
      <family val="2"/>
    </font>
    <font>
      <sz val="11"/>
      <name val="Franklin Gothic Book"/>
      <family val="2"/>
    </font>
    <font>
      <sz val="14"/>
      <color theme="1"/>
      <name val="Franklin Gothic Book"/>
      <family val="2"/>
    </font>
    <font>
      <b/>
      <sz val="11"/>
      <color theme="1"/>
      <name val="Franklin Gothic Book"/>
      <family val="2"/>
    </font>
    <font>
      <sz val="10"/>
      <color rgb="FFFF0000"/>
      <name val="Franklin Gothic Book"/>
      <family val="2"/>
    </font>
    <font>
      <sz val="10"/>
      <name val="Franklin Gothic Book"/>
      <family val="2"/>
    </font>
    <font>
      <sz val="10"/>
      <color theme="4"/>
      <name val="Franklin Gothic Book"/>
      <family val="2"/>
    </font>
    <font>
      <sz val="12"/>
      <color theme="0"/>
      <name val="Franklin Gothic Book"/>
      <family val="2"/>
    </font>
    <font>
      <sz val="14"/>
      <color theme="0" tint="-0.499984740745262"/>
      <name val="Franklin Gothic Book"/>
      <family val="2"/>
    </font>
    <font>
      <sz val="10"/>
      <color theme="0" tint="-0.499984740745262"/>
      <name val="Franklin Gothic Book"/>
      <family val="2"/>
    </font>
    <font>
      <sz val="16"/>
      <color theme="1"/>
      <name val="Aptos Narrow"/>
      <family val="2"/>
      <scheme val="minor"/>
    </font>
    <font>
      <b/>
      <sz val="14"/>
      <color theme="0" tint="-0.499984740745262"/>
      <name val="Franklin Gothic Book"/>
      <family val="2"/>
    </font>
    <font>
      <i/>
      <sz val="11"/>
      <color theme="0" tint="-0.499984740745262"/>
      <name val="Franklin Gothic Book"/>
      <family val="2"/>
    </font>
    <font>
      <sz val="12"/>
      <color theme="0" tint="-0.499984740745262"/>
      <name val="Franklin Gothic Book"/>
      <family val="2"/>
    </font>
    <font>
      <sz val="14"/>
      <color rgb="FF0070C0"/>
      <name val="Franklin Gothic Book"/>
      <family val="2"/>
    </font>
    <font>
      <i/>
      <sz val="12"/>
      <color theme="0" tint="-0.499984740745262"/>
      <name val="Franklin Gothic Book"/>
      <family val="2"/>
    </font>
    <font>
      <b/>
      <sz val="12"/>
      <color rgb="FF3F3F3F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 tint="-0.499984740745262"/>
      <name val="Franklin Gothic Book"/>
      <family val="2"/>
    </font>
    <font>
      <sz val="11"/>
      <color theme="0"/>
      <name val="Aptos Narrow"/>
      <family val="2"/>
      <scheme val="minor"/>
    </font>
    <font>
      <sz val="12"/>
      <color rgb="FF3F3F3F"/>
      <name val="Aptos Narrow"/>
      <family val="2"/>
      <scheme val="minor"/>
    </font>
    <font>
      <sz val="11"/>
      <color rgb="FFFFFFFF"/>
      <name val="Aptos Narrow"/>
      <family val="2"/>
      <scheme val="minor"/>
    </font>
    <font>
      <b/>
      <sz val="26"/>
      <color theme="1"/>
      <name val="Franklin Gothic Book"/>
      <family val="2"/>
    </font>
    <font>
      <b/>
      <sz val="14"/>
      <color theme="1"/>
      <name val="Aptos Narrow"/>
      <family val="2"/>
      <scheme val="minor"/>
    </font>
    <font>
      <sz val="11"/>
      <color rgb="FF4472C5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sz val="11"/>
      <color theme="0" tint="-0.34998626667073579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18"/>
      <color rgb="FF00CCFF"/>
      <name val="Aptos Narrow"/>
      <family val="2"/>
      <scheme val="minor"/>
    </font>
    <font>
      <sz val="8"/>
      <color rgb="FFC94A34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sz val="16"/>
      <color rgb="FF3F3F3F"/>
      <name val="Aptos Narrow"/>
      <family val="2"/>
      <scheme val="minor"/>
    </font>
    <font>
      <b/>
      <sz val="11"/>
      <color rgb="FFC94A34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u/>
      <sz val="13"/>
      <color theme="1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b/>
      <sz val="13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5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2F2F2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787878"/>
        <bgColor indexed="64"/>
      </patternFill>
    </fill>
    <fill>
      <patternFill patternType="solid">
        <fgColor rgb="FF787878"/>
        <bgColor rgb="FF000000"/>
      </patternFill>
    </fill>
    <fill>
      <patternFill patternType="solid">
        <fgColor rgb="FF00CCFF"/>
        <bgColor rgb="FF000000"/>
      </patternFill>
    </fill>
    <fill>
      <patternFill patternType="solid">
        <fgColor rgb="FFC94A34"/>
        <bgColor indexed="64"/>
      </patternFill>
    </fill>
    <fill>
      <patternFill patternType="solid">
        <fgColor rgb="FFFFCC33"/>
        <bgColor indexed="64"/>
      </patternFill>
    </fill>
  </fills>
  <borders count="1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4472C5"/>
      </left>
      <right/>
      <top style="medium">
        <color rgb="FF4472C5"/>
      </top>
      <bottom style="medium">
        <color rgb="FF4472C5"/>
      </bottom>
      <diagonal/>
    </border>
    <border>
      <left/>
      <right/>
      <top style="medium">
        <color rgb="FF4472C5"/>
      </top>
      <bottom style="medium">
        <color rgb="FF4472C5"/>
      </bottom>
      <diagonal/>
    </border>
    <border>
      <left/>
      <right style="medium">
        <color rgb="FF4472C5"/>
      </right>
      <top style="medium">
        <color rgb="FF4472C5"/>
      </top>
      <bottom style="medium">
        <color rgb="FF4472C5"/>
      </bottom>
      <diagonal/>
    </border>
    <border>
      <left/>
      <right style="thin">
        <color theme="0"/>
      </right>
      <top style="medium">
        <color rgb="FF4472C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rgb="FF4472C5"/>
      </top>
      <bottom style="thin">
        <color theme="0"/>
      </bottom>
      <diagonal/>
    </border>
    <border>
      <left style="thin">
        <color theme="0"/>
      </left>
      <right/>
      <top style="medium">
        <color rgb="FF4472C5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rgb="FF4472C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4472C5"/>
      </bottom>
      <diagonal/>
    </border>
    <border>
      <left style="thin">
        <color theme="0"/>
      </left>
      <right/>
      <top style="thin">
        <color theme="0"/>
      </top>
      <bottom style="medium">
        <color rgb="FF4472C5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medium">
        <color rgb="FF4472C5"/>
      </left>
      <right/>
      <top style="medium">
        <color rgb="FF4472C5"/>
      </top>
      <bottom style="hair">
        <color rgb="FF4472C5"/>
      </bottom>
      <diagonal/>
    </border>
    <border>
      <left/>
      <right/>
      <top style="medium">
        <color rgb="FF4472C5"/>
      </top>
      <bottom style="hair">
        <color rgb="FF4472C5"/>
      </bottom>
      <diagonal/>
    </border>
    <border>
      <left/>
      <right style="hair">
        <color rgb="FF4472C5"/>
      </right>
      <top style="medium">
        <color rgb="FF4472C5"/>
      </top>
      <bottom style="hair">
        <color rgb="FF4472C5"/>
      </bottom>
      <diagonal/>
    </border>
    <border>
      <left style="hair">
        <color rgb="FF4472C5"/>
      </left>
      <right style="hair">
        <color rgb="FF4472C5"/>
      </right>
      <top style="medium">
        <color rgb="FF4472C5"/>
      </top>
      <bottom style="hair">
        <color rgb="FF4472C5"/>
      </bottom>
      <diagonal/>
    </border>
    <border>
      <left style="hair">
        <color rgb="FF4472C5"/>
      </left>
      <right style="medium">
        <color rgb="FF4472C5"/>
      </right>
      <top style="medium">
        <color rgb="FF4472C5"/>
      </top>
      <bottom style="hair">
        <color rgb="FF4472C5"/>
      </bottom>
      <diagonal/>
    </border>
    <border>
      <left style="medium">
        <color rgb="FF4472C5"/>
      </left>
      <right style="hair">
        <color rgb="FF4472C5"/>
      </right>
      <top style="hair">
        <color rgb="FF4472C5"/>
      </top>
      <bottom style="hair">
        <color rgb="FF4472C5"/>
      </bottom>
      <diagonal/>
    </border>
    <border>
      <left style="hair">
        <color rgb="FF4472C5"/>
      </left>
      <right style="hair">
        <color rgb="FF4472C5"/>
      </right>
      <top style="hair">
        <color rgb="FF4472C5"/>
      </top>
      <bottom style="hair">
        <color rgb="FF4472C5"/>
      </bottom>
      <diagonal/>
    </border>
    <border>
      <left style="hair">
        <color rgb="FF4472C5"/>
      </left>
      <right style="medium">
        <color rgb="FF4472C5"/>
      </right>
      <top style="hair">
        <color rgb="FF4472C5"/>
      </top>
      <bottom style="hair">
        <color rgb="FF4472C5"/>
      </bottom>
      <diagonal/>
    </border>
    <border>
      <left style="medium">
        <color rgb="FF4472C5"/>
      </left>
      <right style="hair">
        <color rgb="FF4472C5"/>
      </right>
      <top style="hair">
        <color rgb="FF4472C5"/>
      </top>
      <bottom style="medium">
        <color rgb="FF4472C5"/>
      </bottom>
      <diagonal/>
    </border>
    <border>
      <left style="hair">
        <color rgb="FF4472C5"/>
      </left>
      <right style="hair">
        <color rgb="FF4472C5"/>
      </right>
      <top style="hair">
        <color rgb="FF4472C5"/>
      </top>
      <bottom style="medium">
        <color rgb="FF4472C5"/>
      </bottom>
      <diagonal/>
    </border>
    <border>
      <left style="hair">
        <color rgb="FF4472C5"/>
      </left>
      <right style="medium">
        <color rgb="FF4472C5"/>
      </right>
      <top style="hair">
        <color rgb="FF4472C5"/>
      </top>
      <bottom style="medium">
        <color rgb="FF4472C5"/>
      </bottom>
      <diagonal/>
    </border>
    <border>
      <left style="medium">
        <color rgb="FF4472C5"/>
      </left>
      <right style="hair">
        <color rgb="FF4472C5"/>
      </right>
      <top style="medium">
        <color rgb="FF4472C5"/>
      </top>
      <bottom/>
      <diagonal/>
    </border>
    <border>
      <left/>
      <right/>
      <top/>
      <bottom style="thin">
        <color theme="0"/>
      </bottom>
      <diagonal/>
    </border>
    <border>
      <left style="medium">
        <color rgb="FF4472C5"/>
      </left>
      <right style="hair">
        <color rgb="FF4472C5"/>
      </right>
      <top style="medium">
        <color rgb="FF4472C5"/>
      </top>
      <bottom style="hair">
        <color theme="0"/>
      </bottom>
      <diagonal/>
    </border>
    <border>
      <left style="hair">
        <color rgb="FF4472C5"/>
      </left>
      <right style="hair">
        <color rgb="FF4472C5"/>
      </right>
      <top style="medium">
        <color rgb="FF4472C5"/>
      </top>
      <bottom style="thin">
        <color rgb="FF4472C5"/>
      </bottom>
      <diagonal/>
    </border>
    <border>
      <left style="hair">
        <color rgb="FF4472C5"/>
      </left>
      <right style="medium">
        <color rgb="FF4472C5"/>
      </right>
      <top style="medium">
        <color rgb="FF4472C5"/>
      </top>
      <bottom style="thin">
        <color rgb="FF4472C5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rgb="FF4472C5"/>
      </left>
      <right/>
      <top/>
      <bottom/>
      <diagonal/>
    </border>
    <border>
      <left/>
      <right style="medium">
        <color rgb="FF4472C5"/>
      </right>
      <top/>
      <bottom/>
      <diagonal/>
    </border>
    <border>
      <left style="medium">
        <color rgb="FF4472C5"/>
      </left>
      <right style="hair">
        <color rgb="FF4472C5"/>
      </right>
      <top style="hair">
        <color theme="0"/>
      </top>
      <bottom style="hair">
        <color theme="0"/>
      </bottom>
      <diagonal/>
    </border>
    <border>
      <left style="hair">
        <color rgb="FF4472C5"/>
      </left>
      <right style="hair">
        <color rgb="FF4472C5"/>
      </right>
      <top style="thin">
        <color rgb="FF4472C5"/>
      </top>
      <bottom style="thin">
        <color rgb="FF4472C5"/>
      </bottom>
      <diagonal/>
    </border>
    <border>
      <left style="hair">
        <color rgb="FF4472C5"/>
      </left>
      <right style="medium">
        <color rgb="FF4472C5"/>
      </right>
      <top style="thin">
        <color rgb="FF4472C5"/>
      </top>
      <bottom style="thin">
        <color rgb="FF4472C5"/>
      </bottom>
      <diagonal/>
    </border>
    <border>
      <left style="medium">
        <color rgb="FF4472C5"/>
      </left>
      <right/>
      <top style="thin">
        <color rgb="FF4472C5"/>
      </top>
      <bottom style="thin">
        <color rgb="FF4472C5"/>
      </bottom>
      <diagonal/>
    </border>
    <border>
      <left/>
      <right/>
      <top style="thin">
        <color rgb="FF4472C5"/>
      </top>
      <bottom style="thin">
        <color rgb="FF4472C5"/>
      </bottom>
      <diagonal/>
    </border>
    <border>
      <left style="hair">
        <color rgb="FF4472C5"/>
      </left>
      <right style="hair">
        <color rgb="FF4472C5"/>
      </right>
      <top style="thin">
        <color rgb="FF4472C5"/>
      </top>
      <bottom style="medium">
        <color rgb="FF4472C5"/>
      </bottom>
      <diagonal/>
    </border>
    <border>
      <left style="hair">
        <color rgb="FF4472C5"/>
      </left>
      <right style="medium">
        <color rgb="FF4472C5"/>
      </right>
      <top style="thin">
        <color rgb="FF4472C5"/>
      </top>
      <bottom style="medium">
        <color rgb="FF4472C5"/>
      </bottom>
      <diagonal/>
    </border>
    <border>
      <left style="medium">
        <color rgb="FF4472C5"/>
      </left>
      <right style="hair">
        <color rgb="FF4472C5"/>
      </right>
      <top/>
      <bottom style="hair">
        <color theme="0"/>
      </bottom>
      <diagonal/>
    </border>
    <border>
      <left style="hair">
        <color rgb="FF4472C5"/>
      </left>
      <right style="medium">
        <color rgb="FF4472C5"/>
      </right>
      <top/>
      <bottom style="thin">
        <color rgb="FF4472C5"/>
      </bottom>
      <diagonal/>
    </border>
    <border>
      <left style="medium">
        <color rgb="FF4472C5"/>
      </left>
      <right/>
      <top/>
      <bottom style="medium">
        <color rgb="FF4472C5"/>
      </bottom>
      <diagonal/>
    </border>
    <border>
      <left/>
      <right/>
      <top/>
      <bottom style="medium">
        <color rgb="FF4472C5"/>
      </bottom>
      <diagonal/>
    </border>
    <border>
      <left/>
      <right style="medium">
        <color rgb="FF4472C5"/>
      </right>
      <top/>
      <bottom style="medium">
        <color rgb="FF4472C5"/>
      </bottom>
      <diagonal/>
    </border>
    <border>
      <left style="medium">
        <color theme="0"/>
      </left>
      <right style="thin">
        <color theme="0"/>
      </right>
      <top style="medium">
        <color rgb="FF4472C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4472C5"/>
      </left>
      <right style="thin">
        <color rgb="FF4472C5"/>
      </right>
      <top style="medium">
        <color rgb="FF4472C5"/>
      </top>
      <bottom/>
      <diagonal/>
    </border>
    <border>
      <left style="medium">
        <color rgb="FF4472C5"/>
      </left>
      <right/>
      <top style="medium">
        <color rgb="FF4472C5"/>
      </top>
      <bottom/>
      <diagonal/>
    </border>
    <border>
      <left/>
      <right/>
      <top style="medium">
        <color rgb="FF4472C5"/>
      </top>
      <bottom/>
      <diagonal/>
    </border>
    <border>
      <left/>
      <right style="thin">
        <color rgb="FF4472C5"/>
      </right>
      <top style="medium">
        <color rgb="FF4472C5"/>
      </top>
      <bottom/>
      <diagonal/>
    </border>
    <border>
      <left style="thin">
        <color rgb="FF4472C5"/>
      </left>
      <right style="thin">
        <color rgb="FF4472C5"/>
      </right>
      <top/>
      <bottom style="medium">
        <color rgb="FF4472C5"/>
      </bottom>
      <diagonal/>
    </border>
    <border>
      <left/>
      <right style="thin">
        <color rgb="FF4472C5"/>
      </right>
      <top/>
      <bottom style="medium">
        <color rgb="FF4472C5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hair">
        <color rgb="FF4472C5"/>
      </right>
      <top style="medium">
        <color rgb="FF4472C5"/>
      </top>
      <bottom/>
      <diagonal/>
    </border>
    <border>
      <left style="hair">
        <color rgb="FF4472C5"/>
      </left>
      <right/>
      <top style="medium">
        <color rgb="FF4472C5"/>
      </top>
      <bottom/>
      <diagonal/>
    </border>
    <border>
      <left/>
      <right style="medium">
        <color rgb="FF4472C5"/>
      </right>
      <top style="medium">
        <color rgb="FF4472C5"/>
      </top>
      <bottom/>
      <diagonal/>
    </border>
    <border>
      <left/>
      <right style="hair">
        <color rgb="FF4472C5"/>
      </right>
      <top/>
      <bottom/>
      <diagonal/>
    </border>
    <border>
      <left style="hair">
        <color rgb="FF4472C5"/>
      </left>
      <right/>
      <top style="medium">
        <color rgb="FF4472C5"/>
      </top>
      <bottom style="thin">
        <color rgb="FF4472C5"/>
      </bottom>
      <diagonal/>
    </border>
    <border>
      <left/>
      <right/>
      <top style="medium">
        <color rgb="FF4472C5"/>
      </top>
      <bottom style="thin">
        <color rgb="FF4472C5"/>
      </bottom>
      <diagonal/>
    </border>
    <border>
      <left/>
      <right style="hair">
        <color rgb="FF4472C5"/>
      </right>
      <top style="medium">
        <color rgb="FF4472C5"/>
      </top>
      <bottom style="thin">
        <color rgb="FF4472C5"/>
      </bottom>
      <diagonal/>
    </border>
    <border>
      <left style="hair">
        <color rgb="FF4472C5"/>
      </left>
      <right/>
      <top style="thin">
        <color rgb="FF4472C5"/>
      </top>
      <bottom style="thin">
        <color rgb="FF4472C5"/>
      </bottom>
      <diagonal/>
    </border>
    <border>
      <left/>
      <right style="hair">
        <color rgb="FF4472C5"/>
      </right>
      <top style="thin">
        <color rgb="FF4472C5"/>
      </top>
      <bottom style="thin">
        <color rgb="FF4472C5"/>
      </bottom>
      <diagonal/>
    </border>
    <border>
      <left style="hair">
        <color rgb="FF4472C5"/>
      </left>
      <right/>
      <top style="thin">
        <color rgb="FF4472C5"/>
      </top>
      <bottom style="medium">
        <color rgb="FF4472C5"/>
      </bottom>
      <diagonal/>
    </border>
    <border>
      <left/>
      <right/>
      <top style="thin">
        <color rgb="FF4472C5"/>
      </top>
      <bottom style="medium">
        <color rgb="FF4472C5"/>
      </bottom>
      <diagonal/>
    </border>
    <border>
      <left/>
      <right style="hair">
        <color rgb="FF4472C5"/>
      </right>
      <top style="thin">
        <color rgb="FF4472C5"/>
      </top>
      <bottom style="medium">
        <color rgb="FF4472C5"/>
      </bottom>
      <diagonal/>
    </border>
    <border>
      <left style="hair">
        <color rgb="FF4472C5"/>
      </left>
      <right/>
      <top style="medium">
        <color rgb="FF4472C5"/>
      </top>
      <bottom style="medium">
        <color rgb="FF4472C5"/>
      </bottom>
      <diagonal/>
    </border>
    <border>
      <left style="hair">
        <color rgb="FF4472C5"/>
      </left>
      <right style="medium">
        <color rgb="FF4472C5"/>
      </right>
      <top style="medium">
        <color rgb="FF4472C5"/>
      </top>
      <bottom style="medium">
        <color rgb="FF4472C5"/>
      </bottom>
      <diagonal/>
    </border>
    <border>
      <left style="medium">
        <color rgb="FF4472C5"/>
      </left>
      <right style="hair">
        <color rgb="FF4472C5"/>
      </right>
      <top style="medium">
        <color rgb="FF4472C5"/>
      </top>
      <bottom style="thin">
        <color theme="0"/>
      </bottom>
      <diagonal/>
    </border>
    <border>
      <left style="hair">
        <color rgb="FF4472C5"/>
      </left>
      <right style="hair">
        <color rgb="FF4472C5"/>
      </right>
      <top style="medium">
        <color rgb="FF4472C5"/>
      </top>
      <bottom style="thin">
        <color theme="0"/>
      </bottom>
      <diagonal/>
    </border>
    <border>
      <left style="hair">
        <color rgb="FF4472C5"/>
      </left>
      <right style="medium">
        <color rgb="FF4472C5"/>
      </right>
      <top style="medium">
        <color rgb="FF4472C5"/>
      </top>
      <bottom style="thin">
        <color theme="0"/>
      </bottom>
      <diagonal/>
    </border>
    <border>
      <left/>
      <right style="hair">
        <color rgb="FF4472C5"/>
      </right>
      <top/>
      <bottom style="thin">
        <color rgb="FF4472C5"/>
      </bottom>
      <diagonal/>
    </border>
    <border>
      <left/>
      <right/>
      <top style="medium">
        <color theme="0"/>
      </top>
      <bottom/>
      <diagonal/>
    </border>
    <border>
      <left style="hair">
        <color rgb="FF4472C5"/>
      </left>
      <right style="hair">
        <color rgb="FF4472C5"/>
      </right>
      <top style="hair">
        <color rgb="FF4472C5"/>
      </top>
      <bottom/>
      <diagonal/>
    </border>
    <border>
      <left style="hair">
        <color rgb="FF4472C5"/>
      </left>
      <right style="medium">
        <color rgb="FF4472C5"/>
      </right>
      <top style="hair">
        <color rgb="FF4472C5"/>
      </top>
      <bottom/>
      <diagonal/>
    </border>
    <border>
      <left/>
      <right/>
      <top/>
      <bottom style="medium">
        <color theme="0"/>
      </bottom>
      <diagonal/>
    </border>
    <border>
      <left style="medium">
        <color rgb="FF4472C5"/>
      </left>
      <right style="hair">
        <color rgb="FF4472C5"/>
      </right>
      <top style="thin">
        <color rgb="FF4472C5"/>
      </top>
      <bottom style="thin">
        <color rgb="FF0070C0"/>
      </bottom>
      <diagonal/>
    </border>
    <border>
      <left style="hair">
        <color rgb="FF4472C5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medium">
        <color rgb="FF4472C5"/>
      </right>
      <top style="thin">
        <color rgb="FF0070C0"/>
      </top>
      <bottom style="thin">
        <color rgb="FF0070C0"/>
      </bottom>
      <diagonal/>
    </border>
    <border>
      <left style="medium">
        <color rgb="FF4472C5"/>
      </left>
      <right/>
      <top style="thin">
        <color theme="0"/>
      </top>
      <bottom style="thin">
        <color theme="0"/>
      </bottom>
      <diagonal/>
    </border>
    <border>
      <left style="medium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medium">
        <color rgb="FF4472C5"/>
      </right>
      <top style="thin">
        <color rgb="FF0070C0"/>
      </top>
      <bottom/>
      <diagonal/>
    </border>
    <border>
      <left style="medium">
        <color rgb="FF0070C0"/>
      </left>
      <right/>
      <top/>
      <bottom style="medium">
        <color rgb="FF4472C5"/>
      </bottom>
      <diagonal/>
    </border>
    <border>
      <left style="medium">
        <color rgb="FF4472C5"/>
      </left>
      <right style="hair">
        <color rgb="FF4472C5"/>
      </right>
      <top style="hair">
        <color theme="0"/>
      </top>
      <bottom style="medium">
        <color theme="0"/>
      </bottom>
      <diagonal/>
    </border>
    <border>
      <left style="medium">
        <color rgb="FF4472C5"/>
      </left>
      <right style="hair">
        <color rgb="FF4472C5"/>
      </right>
      <top style="medium">
        <color theme="0"/>
      </top>
      <bottom/>
      <diagonal/>
    </border>
    <border>
      <left style="medium">
        <color rgb="FF4472C5"/>
      </left>
      <right style="hair">
        <color rgb="FF4472C5"/>
      </right>
      <top/>
      <bottom style="medium">
        <color theme="0"/>
      </bottom>
      <diagonal/>
    </border>
    <border>
      <left style="medium">
        <color rgb="FF4472C5"/>
      </left>
      <right style="hair">
        <color rgb="FF4472C5"/>
      </right>
      <top/>
      <bottom/>
      <diagonal/>
    </border>
    <border>
      <left style="hair">
        <color rgb="FF0070C0"/>
      </left>
      <right/>
      <top style="medium">
        <color rgb="FF4472C5"/>
      </top>
      <bottom/>
      <diagonal/>
    </border>
    <border>
      <left/>
      <right style="medium">
        <color rgb="FF0070C0"/>
      </right>
      <top style="medium">
        <color rgb="FF4472C5"/>
      </top>
      <bottom/>
      <diagonal/>
    </border>
    <border>
      <left style="medium">
        <color rgb="FF0070C0"/>
      </left>
      <right/>
      <top/>
      <bottom/>
      <diagonal/>
    </border>
    <border>
      <left style="hair">
        <color rgb="FF4472C5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 style="hair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theme="0"/>
      </right>
      <top/>
      <bottom style="medium">
        <color rgb="FF4472C5"/>
      </bottom>
      <diagonal/>
    </border>
    <border>
      <left style="hair">
        <color rgb="FF4472C5"/>
      </left>
      <right/>
      <top style="hair">
        <color rgb="FF4472C5"/>
      </top>
      <bottom style="hair">
        <color rgb="FF4472C5"/>
      </bottom>
      <diagonal/>
    </border>
    <border>
      <left/>
      <right/>
      <top style="hair">
        <color rgb="FF4472C5"/>
      </top>
      <bottom style="hair">
        <color rgb="FF4472C5"/>
      </bottom>
      <diagonal/>
    </border>
    <border>
      <left/>
      <right style="hair">
        <color rgb="FF4472C5"/>
      </right>
      <top style="hair">
        <color rgb="FF4472C5"/>
      </top>
      <bottom style="hair">
        <color rgb="FF4472C5"/>
      </bottom>
      <diagonal/>
    </border>
    <border>
      <left style="medium">
        <color rgb="FF4472C5"/>
      </left>
      <right/>
      <top style="medium">
        <color rgb="FF4472C5"/>
      </top>
      <bottom style="thin">
        <color theme="0"/>
      </bottom>
      <diagonal/>
    </border>
    <border>
      <left/>
      <right/>
      <top style="medium">
        <color rgb="FF4472C5"/>
      </top>
      <bottom style="thin">
        <color theme="0"/>
      </bottom>
      <diagonal/>
    </border>
    <border>
      <left/>
      <right style="medium">
        <color rgb="FF4472C5"/>
      </right>
      <top style="medium">
        <color rgb="FF4472C5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6" fillId="6" borderId="110" applyNumberFormat="0" applyAlignment="0" applyProtection="0"/>
    <xf numFmtId="0" fontId="1" fillId="7" borderId="0" applyNumberFormat="0" applyBorder="0" applyAlignment="0" applyProtection="0"/>
    <xf numFmtId="0" fontId="38" fillId="0" borderId="0" applyNumberFormat="0" applyFill="0" applyBorder="0" applyAlignment="0" applyProtection="0"/>
  </cellStyleXfs>
  <cellXfs count="271">
    <xf numFmtId="0" fontId="0" fillId="0" borderId="0" xfId="0"/>
    <xf numFmtId="0" fontId="0" fillId="2" borderId="1" xfId="0" applyFill="1" applyBorder="1"/>
    <xf numFmtId="0" fontId="0" fillId="0" borderId="2" xfId="0" applyBorder="1"/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2" borderId="4" xfId="0" applyFill="1" applyBorder="1"/>
    <xf numFmtId="0" fontId="0" fillId="0" borderId="0" xfId="0" applyAlignment="1">
      <alignment horizontal="center"/>
    </xf>
    <xf numFmtId="0" fontId="0" fillId="0" borderId="5" xfId="0" applyBorder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5" xfId="0" applyFont="1" applyBorder="1"/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2" xfId="0" applyFont="1" applyBorder="1"/>
    <xf numFmtId="0" fontId="6" fillId="0" borderId="13" xfId="0" applyFont="1" applyBorder="1"/>
    <xf numFmtId="0" fontId="7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/>
    <xf numFmtId="0" fontId="6" fillId="0" borderId="16" xfId="0" applyFont="1" applyBorder="1"/>
    <xf numFmtId="0" fontId="9" fillId="2" borderId="20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165" fontId="9" fillId="0" borderId="23" xfId="0" applyNumberFormat="1" applyFont="1" applyBorder="1" applyAlignment="1">
      <alignment horizontal="center" vertical="center"/>
    </xf>
    <xf numFmtId="165" fontId="10" fillId="0" borderId="23" xfId="0" applyNumberFormat="1" applyFont="1" applyBorder="1" applyAlignment="1">
      <alignment horizontal="center" vertical="center"/>
    </xf>
    <xf numFmtId="165" fontId="11" fillId="0" borderId="23" xfId="0" applyNumberFormat="1" applyFont="1" applyBorder="1" applyAlignment="1">
      <alignment horizontal="center" vertical="center"/>
    </xf>
    <xf numFmtId="165" fontId="12" fillId="0" borderId="24" xfId="0" applyNumberFormat="1" applyFont="1" applyBorder="1" applyAlignment="1">
      <alignment horizontal="center" vertical="center"/>
    </xf>
    <xf numFmtId="165" fontId="16" fillId="2" borderId="23" xfId="0" applyNumberFormat="1" applyFont="1" applyFill="1" applyBorder="1" applyAlignment="1">
      <alignment horizontal="center" vertical="center"/>
    </xf>
    <xf numFmtId="165" fontId="17" fillId="2" borderId="23" xfId="0" applyNumberFormat="1" applyFont="1" applyFill="1" applyBorder="1" applyAlignment="1">
      <alignment horizontal="center" vertical="center"/>
    </xf>
    <xf numFmtId="165" fontId="18" fillId="2" borderId="23" xfId="0" applyNumberFormat="1" applyFont="1" applyFill="1" applyBorder="1" applyAlignment="1">
      <alignment horizontal="center" vertical="center"/>
    </xf>
    <xf numFmtId="165" fontId="19" fillId="2" borderId="24" xfId="0" applyNumberFormat="1" applyFont="1" applyFill="1" applyBorder="1" applyAlignment="1">
      <alignment horizontal="center" vertical="center"/>
    </xf>
    <xf numFmtId="165" fontId="16" fillId="2" borderId="26" xfId="0" applyNumberFormat="1" applyFont="1" applyFill="1" applyBorder="1" applyAlignment="1">
      <alignment horizontal="center" vertical="center"/>
    </xf>
    <xf numFmtId="165" fontId="17" fillId="2" borderId="26" xfId="0" applyNumberFormat="1" applyFont="1" applyFill="1" applyBorder="1" applyAlignment="1">
      <alignment horizontal="center" vertical="center"/>
    </xf>
    <xf numFmtId="165" fontId="18" fillId="2" borderId="26" xfId="0" applyNumberFormat="1" applyFont="1" applyFill="1" applyBorder="1" applyAlignment="1">
      <alignment horizontal="center" vertical="center"/>
    </xf>
    <xf numFmtId="165" fontId="19" fillId="2" borderId="27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textRotation="45"/>
    </xf>
    <xf numFmtId="0" fontId="20" fillId="2" borderId="0" xfId="0" applyFont="1" applyFill="1" applyAlignment="1">
      <alignment horizontal="left" vertical="center" wrapText="1"/>
    </xf>
    <xf numFmtId="165" fontId="21" fillId="2" borderId="0" xfId="0" applyNumberFormat="1" applyFont="1" applyFill="1" applyAlignment="1">
      <alignment horizontal="center" vertical="center"/>
    </xf>
    <xf numFmtId="0" fontId="6" fillId="0" borderId="0" xfId="0" applyFont="1"/>
    <xf numFmtId="0" fontId="23" fillId="0" borderId="0" xfId="0" applyFont="1" applyAlignment="1">
      <alignment wrapText="1"/>
    </xf>
    <xf numFmtId="166" fontId="24" fillId="2" borderId="0" xfId="2" applyNumberFormat="1" applyFont="1" applyFill="1" applyBorder="1" applyAlignment="1">
      <alignment horizontal="center" vertical="center"/>
    </xf>
    <xf numFmtId="165" fontId="6" fillId="2" borderId="0" xfId="0" applyNumberFormat="1" applyFont="1" applyFill="1" applyAlignment="1">
      <alignment vertical="center"/>
    </xf>
    <xf numFmtId="166" fontId="25" fillId="0" borderId="0" xfId="2" applyNumberFormat="1" applyFont="1" applyBorder="1" applyAlignment="1">
      <alignment horizontal="center" vertical="center"/>
    </xf>
    <xf numFmtId="166" fontId="26" fillId="0" borderId="0" xfId="2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center"/>
    </xf>
    <xf numFmtId="165" fontId="28" fillId="2" borderId="31" xfId="0" applyNumberFormat="1" applyFont="1" applyFill="1" applyBorder="1" applyAlignment="1">
      <alignment horizontal="left" vertical="center" wrapText="1"/>
    </xf>
    <xf numFmtId="165" fontId="28" fillId="2" borderId="32" xfId="0" applyNumberFormat="1" applyFont="1" applyFill="1" applyBorder="1" applyAlignment="1">
      <alignment horizontal="center" vertical="center"/>
    </xf>
    <xf numFmtId="165" fontId="21" fillId="0" borderId="33" xfId="0" applyNumberFormat="1" applyFont="1" applyBorder="1" applyAlignment="1">
      <alignment horizontal="left" vertical="center" wrapText="1"/>
    </xf>
    <xf numFmtId="165" fontId="28" fillId="2" borderId="37" xfId="0" applyNumberFormat="1" applyFont="1" applyFill="1" applyBorder="1" applyAlignment="1">
      <alignment horizontal="left" vertical="center"/>
    </xf>
    <xf numFmtId="165" fontId="28" fillId="2" borderId="38" xfId="0" applyNumberFormat="1" applyFont="1" applyFill="1" applyBorder="1" applyAlignment="1">
      <alignment horizontal="center" vertical="center"/>
    </xf>
    <xf numFmtId="165" fontId="28" fillId="2" borderId="41" xfId="0" applyNumberFormat="1" applyFont="1" applyFill="1" applyBorder="1" applyAlignment="1">
      <alignment horizontal="left" vertical="center"/>
    </xf>
    <xf numFmtId="165" fontId="28" fillId="2" borderId="42" xfId="0" applyNumberFormat="1" applyFont="1" applyFill="1" applyBorder="1" applyAlignment="1">
      <alignment horizontal="center" vertical="center"/>
    </xf>
    <xf numFmtId="0" fontId="21" fillId="0" borderId="33" xfId="0" applyFont="1" applyBorder="1" applyAlignment="1">
      <alignment horizontal="left" vertical="center"/>
    </xf>
    <xf numFmtId="0" fontId="6" fillId="0" borderId="33" xfId="0" applyFont="1" applyBorder="1" applyAlignment="1">
      <alignment horizontal="left" vertical="center"/>
    </xf>
    <xf numFmtId="165" fontId="6" fillId="0" borderId="33" xfId="0" applyNumberFormat="1" applyFont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165" fontId="28" fillId="2" borderId="44" xfId="0" applyNumberFormat="1" applyFont="1" applyFill="1" applyBorder="1" applyAlignment="1">
      <alignment horizontal="center" vertical="center"/>
    </xf>
    <xf numFmtId="165" fontId="0" fillId="2" borderId="4" xfId="0" applyNumberFormat="1" applyFill="1" applyBorder="1"/>
    <xf numFmtId="0" fontId="6" fillId="0" borderId="33" xfId="0" applyFont="1" applyBorder="1" applyAlignment="1">
      <alignment horizontal="left"/>
    </xf>
    <xf numFmtId="0" fontId="6" fillId="0" borderId="48" xfId="0" applyFont="1" applyBorder="1"/>
    <xf numFmtId="0" fontId="6" fillId="0" borderId="49" xfId="0" applyFont="1" applyBorder="1"/>
    <xf numFmtId="0" fontId="6" fillId="0" borderId="50" xfId="0" applyFont="1" applyBorder="1"/>
    <xf numFmtId="165" fontId="0" fillId="2" borderId="4" xfId="0" applyNumberFormat="1" applyFill="1" applyBorder="1" applyAlignment="1">
      <alignment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54" xfId="0" applyFont="1" applyBorder="1"/>
    <xf numFmtId="0" fontId="6" fillId="0" borderId="52" xfId="0" applyFont="1" applyBorder="1" applyAlignment="1">
      <alignment horizontal="left"/>
    </xf>
    <xf numFmtId="0" fontId="0" fillId="0" borderId="55" xfId="0" applyBorder="1"/>
    <xf numFmtId="0" fontId="6" fillId="0" borderId="33" xfId="0" applyFont="1" applyBorder="1" applyAlignment="1">
      <alignment horizontal="center"/>
    </xf>
    <xf numFmtId="0" fontId="28" fillId="2" borderId="56" xfId="0" applyFont="1" applyFill="1" applyBorder="1" applyAlignment="1">
      <alignment horizontal="left" vertical="center" wrapText="1"/>
    </xf>
    <xf numFmtId="0" fontId="6" fillId="0" borderId="33" xfId="0" applyFont="1" applyBorder="1"/>
    <xf numFmtId="0" fontId="33" fillId="0" borderId="60" xfId="0" applyFont="1" applyBorder="1" applyAlignment="1">
      <alignment horizontal="left" vertical="top" wrapText="1"/>
    </xf>
    <xf numFmtId="0" fontId="0" fillId="0" borderId="62" xfId="0" applyBorder="1"/>
    <xf numFmtId="0" fontId="6" fillId="0" borderId="52" xfId="0" applyFont="1" applyBorder="1"/>
    <xf numFmtId="0" fontId="6" fillId="0" borderId="63" xfId="0" applyFont="1" applyBorder="1"/>
    <xf numFmtId="0" fontId="0" fillId="0" borderId="64" xfId="0" applyBorder="1"/>
    <xf numFmtId="0" fontId="6" fillId="0" borderId="65" xfId="0" applyFont="1" applyBorder="1"/>
    <xf numFmtId="0" fontId="6" fillId="0" borderId="66" xfId="0" applyFont="1" applyBorder="1"/>
    <xf numFmtId="0" fontId="8" fillId="0" borderId="34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165" fontId="28" fillId="2" borderId="68" xfId="0" applyNumberFormat="1" applyFont="1" applyFill="1" applyBorder="1" applyAlignment="1">
      <alignment horizontal="center" vertical="center" wrapText="1"/>
    </xf>
    <xf numFmtId="0" fontId="27" fillId="3" borderId="28" xfId="0" applyFont="1" applyFill="1" applyBorder="1" applyAlignment="1">
      <alignment horizontal="center" vertical="center" wrapText="1"/>
    </xf>
    <xf numFmtId="165" fontId="28" fillId="2" borderId="80" xfId="0" applyNumberFormat="1" applyFont="1" applyFill="1" applyBorder="1" applyAlignment="1">
      <alignment horizontal="center" vertical="center"/>
    </xf>
    <xf numFmtId="165" fontId="28" fillId="2" borderId="84" xfId="0" applyNumberFormat="1" applyFont="1" applyFill="1" applyBorder="1" applyAlignment="1">
      <alignment horizontal="left" vertical="center" wrapText="1"/>
    </xf>
    <xf numFmtId="0" fontId="28" fillId="0" borderId="34" xfId="0" applyFont="1" applyBorder="1" applyAlignment="1">
      <alignment wrapText="1"/>
    </xf>
    <xf numFmtId="165" fontId="28" fillId="2" borderId="75" xfId="0" applyNumberFormat="1" applyFont="1" applyFill="1" applyBorder="1" applyAlignment="1">
      <alignment horizontal="left" vertical="center"/>
    </xf>
    <xf numFmtId="0" fontId="28" fillId="2" borderId="39" xfId="0" applyFont="1" applyFill="1" applyBorder="1" applyAlignment="1">
      <alignment vertical="center"/>
    </xf>
    <xf numFmtId="165" fontId="16" fillId="0" borderId="23" xfId="0" applyNumberFormat="1" applyFont="1" applyBorder="1" applyAlignment="1">
      <alignment horizontal="center" vertical="center"/>
    </xf>
    <xf numFmtId="165" fontId="17" fillId="0" borderId="23" xfId="0" applyNumberFormat="1" applyFont="1" applyBorder="1" applyAlignment="1">
      <alignment horizontal="center" vertical="center"/>
    </xf>
    <xf numFmtId="165" fontId="18" fillId="5" borderId="23" xfId="0" applyNumberFormat="1" applyFont="1" applyFill="1" applyBorder="1" applyAlignment="1">
      <alignment horizontal="center" vertical="center"/>
    </xf>
    <xf numFmtId="165" fontId="19" fillId="5" borderId="24" xfId="0" applyNumberFormat="1" applyFont="1" applyFill="1" applyBorder="1" applyAlignment="1">
      <alignment horizontal="center" vertical="center"/>
    </xf>
    <xf numFmtId="165" fontId="28" fillId="2" borderId="78" xfId="0" applyNumberFormat="1" applyFont="1" applyFill="1" applyBorder="1" applyAlignment="1">
      <alignment horizontal="left" vertical="center"/>
    </xf>
    <xf numFmtId="0" fontId="28" fillId="2" borderId="39" xfId="0" applyFont="1" applyFill="1" applyBorder="1" applyAlignment="1">
      <alignment vertical="center" wrapText="1"/>
    </xf>
    <xf numFmtId="165" fontId="18" fillId="5" borderId="86" xfId="0" applyNumberFormat="1" applyFont="1" applyFill="1" applyBorder="1" applyAlignment="1">
      <alignment horizontal="center" vertical="center"/>
    </xf>
    <xf numFmtId="165" fontId="17" fillId="2" borderId="86" xfId="0" applyNumberFormat="1" applyFont="1" applyFill="1" applyBorder="1" applyAlignment="1">
      <alignment horizontal="center" vertical="center"/>
    </xf>
    <xf numFmtId="165" fontId="18" fillId="2" borderId="86" xfId="0" applyNumberFormat="1" applyFont="1" applyFill="1" applyBorder="1" applyAlignment="1">
      <alignment horizontal="center" vertical="center"/>
    </xf>
    <xf numFmtId="165" fontId="19" fillId="2" borderId="87" xfId="0" applyNumberFormat="1" applyFont="1" applyFill="1" applyBorder="1" applyAlignment="1">
      <alignment horizontal="center" vertical="center"/>
    </xf>
    <xf numFmtId="0" fontId="28" fillId="2" borderId="89" xfId="0" applyFont="1" applyFill="1" applyBorder="1" applyAlignment="1">
      <alignment vertical="center" wrapText="1"/>
    </xf>
    <xf numFmtId="165" fontId="28" fillId="2" borderId="84" xfId="0" applyNumberFormat="1" applyFont="1" applyFill="1" applyBorder="1" applyAlignment="1">
      <alignment horizontal="left" vertical="center"/>
    </xf>
    <xf numFmtId="165" fontId="6" fillId="0" borderId="93" xfId="0" applyNumberFormat="1" applyFont="1" applyBorder="1" applyAlignment="1">
      <alignment horizontal="center" vertical="center" wrapText="1"/>
    </xf>
    <xf numFmtId="0" fontId="27" fillId="3" borderId="101" xfId="0" applyFont="1" applyFill="1" applyBorder="1" applyAlignment="1">
      <alignment horizontal="center" vertical="center" wrapText="1"/>
    </xf>
    <xf numFmtId="165" fontId="28" fillId="2" borderId="79" xfId="0" applyNumberFormat="1" applyFont="1" applyFill="1" applyBorder="1" applyAlignment="1">
      <alignment vertical="center" wrapText="1"/>
    </xf>
    <xf numFmtId="0" fontId="0" fillId="0" borderId="104" xfId="0" applyBorder="1"/>
    <xf numFmtId="0" fontId="0" fillId="0" borderId="109" xfId="0" applyBorder="1"/>
    <xf numFmtId="165" fontId="28" fillId="2" borderId="58" xfId="0" applyNumberFormat="1" applyFont="1" applyFill="1" applyBorder="1" applyAlignment="1">
      <alignment vertical="center"/>
    </xf>
    <xf numFmtId="165" fontId="28" fillId="2" borderId="106" xfId="0" applyNumberFormat="1" applyFont="1" applyFill="1" applyBorder="1" applyAlignment="1">
      <alignment vertical="center"/>
    </xf>
    <xf numFmtId="165" fontId="35" fillId="2" borderId="105" xfId="0" applyNumberFormat="1" applyFont="1" applyFill="1" applyBorder="1" applyAlignment="1">
      <alignment vertical="center"/>
    </xf>
    <xf numFmtId="165" fontId="31" fillId="2" borderId="44" xfId="0" applyNumberFormat="1" applyFont="1" applyFill="1" applyBorder="1" applyAlignment="1">
      <alignment horizontal="center" vertical="center"/>
    </xf>
    <xf numFmtId="165" fontId="31" fillId="2" borderId="38" xfId="0" applyNumberFormat="1" applyFont="1" applyFill="1" applyBorder="1" applyAlignment="1">
      <alignment horizontal="center" vertical="center"/>
    </xf>
    <xf numFmtId="165" fontId="31" fillId="2" borderId="42" xfId="0" applyNumberFormat="1" applyFont="1" applyFill="1" applyBorder="1" applyAlignment="1">
      <alignment horizontal="center" vertical="center"/>
    </xf>
    <xf numFmtId="0" fontId="40" fillId="0" borderId="0" xfId="0" applyFont="1"/>
    <xf numFmtId="0" fontId="22" fillId="0" borderId="111" xfId="0" applyFont="1" applyBorder="1" applyAlignment="1">
      <alignment horizontal="center" vertical="center" textRotation="45"/>
    </xf>
    <xf numFmtId="9" fontId="41" fillId="2" borderId="8" xfId="2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42" fillId="8" borderId="0" xfId="0" applyFont="1" applyFill="1"/>
    <xf numFmtId="0" fontId="43" fillId="6" borderId="110" xfId="3" applyFont="1"/>
    <xf numFmtId="0" fontId="44" fillId="9" borderId="0" xfId="0" applyFont="1" applyFill="1"/>
    <xf numFmtId="0" fontId="45" fillId="0" borderId="0" xfId="0" applyFont="1"/>
    <xf numFmtId="0" fontId="0" fillId="12" borderId="0" xfId="0" applyFill="1"/>
    <xf numFmtId="0" fontId="46" fillId="0" borderId="0" xfId="0" applyFont="1"/>
    <xf numFmtId="0" fontId="40" fillId="0" borderId="0" xfId="0" applyFont="1" applyAlignment="1">
      <alignment horizontal="right"/>
    </xf>
    <xf numFmtId="0" fontId="1" fillId="4" borderId="0" xfId="4" applyFill="1" applyProtection="1">
      <protection locked="0"/>
    </xf>
    <xf numFmtId="0" fontId="1" fillId="4" borderId="0" xfId="4" applyFill="1" applyAlignment="1" applyProtection="1">
      <alignment horizontal="center"/>
      <protection locked="0"/>
    </xf>
    <xf numFmtId="0" fontId="53" fillId="0" borderId="0" xfId="0" applyFont="1"/>
    <xf numFmtId="0" fontId="30" fillId="0" borderId="0" xfId="0" applyFont="1"/>
    <xf numFmtId="168" fontId="0" fillId="0" borderId="0" xfId="0" applyNumberFormat="1"/>
    <xf numFmtId="0" fontId="56" fillId="0" borderId="0" xfId="3" applyFont="1" applyFill="1" applyBorder="1"/>
    <xf numFmtId="3" fontId="36" fillId="6" borderId="110" xfId="3" applyNumberFormat="1"/>
    <xf numFmtId="3" fontId="43" fillId="6" borderId="110" xfId="3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3" fontId="36" fillId="6" borderId="110" xfId="3" applyNumberFormat="1" applyAlignment="1">
      <alignment horizontal="center"/>
    </xf>
    <xf numFmtId="3" fontId="1" fillId="4" borderId="0" xfId="4" applyNumberFormat="1" applyFill="1" applyAlignment="1" applyProtection="1">
      <alignment horizontal="center"/>
      <protection locked="0"/>
    </xf>
    <xf numFmtId="3" fontId="39" fillId="10" borderId="0" xfId="0" applyNumberFormat="1" applyFont="1" applyFill="1" applyAlignment="1" applyProtection="1">
      <alignment horizontal="center"/>
      <protection locked="0"/>
    </xf>
    <xf numFmtId="0" fontId="36" fillId="6" borderId="110" xfId="3" applyAlignment="1">
      <alignment horizontal="center"/>
    </xf>
    <xf numFmtId="0" fontId="57" fillId="0" borderId="0" xfId="5" applyFont="1"/>
    <xf numFmtId="0" fontId="0" fillId="0" borderId="0" xfId="0" applyAlignment="1">
      <alignment horizontal="center" wrapText="1"/>
    </xf>
    <xf numFmtId="0" fontId="40" fillId="0" borderId="0" xfId="0" applyFont="1" applyAlignment="1">
      <alignment horizontal="center"/>
    </xf>
    <xf numFmtId="0" fontId="58" fillId="0" borderId="0" xfId="0" applyFont="1" applyAlignment="1">
      <alignment horizontal="center"/>
    </xf>
    <xf numFmtId="0" fontId="22" fillId="0" borderId="12" xfId="0" applyFont="1" applyBorder="1" applyAlignment="1">
      <alignment horizontal="center" vertical="center" textRotation="45"/>
    </xf>
    <xf numFmtId="165" fontId="28" fillId="2" borderId="37" xfId="0" applyNumberFormat="1" applyFont="1" applyFill="1" applyBorder="1" applyAlignment="1">
      <alignment horizontal="left" vertical="center" wrapText="1"/>
    </xf>
    <xf numFmtId="0" fontId="45" fillId="0" borderId="0" xfId="0" applyFont="1" applyAlignment="1">
      <alignment horizontal="left"/>
    </xf>
    <xf numFmtId="0" fontId="40" fillId="0" borderId="0" xfId="0" applyFont="1" applyAlignment="1">
      <alignment horizontal="center" wrapText="1"/>
    </xf>
    <xf numFmtId="0" fontId="46" fillId="0" borderId="119" xfId="0" applyFont="1" applyBorder="1" applyAlignment="1">
      <alignment horizontal="center"/>
    </xf>
    <xf numFmtId="0" fontId="46" fillId="0" borderId="120" xfId="0" applyFont="1" applyBorder="1"/>
    <xf numFmtId="0" fontId="46" fillId="0" borderId="121" xfId="0" applyFont="1" applyBorder="1"/>
    <xf numFmtId="0" fontId="0" fillId="0" borderId="119" xfId="0" applyBorder="1"/>
    <xf numFmtId="0" fontId="0" fillId="0" borderId="120" xfId="0" applyBorder="1"/>
    <xf numFmtId="0" fontId="0" fillId="0" borderId="121" xfId="0" applyBorder="1"/>
    <xf numFmtId="0" fontId="3" fillId="0" borderId="0" xfId="0" applyFont="1" applyAlignment="1">
      <alignment horizontal="center"/>
    </xf>
    <xf numFmtId="3" fontId="54" fillId="6" borderId="118" xfId="3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36" fillId="6" borderId="110" xfId="3" applyAlignment="1">
      <alignment horizontal="center" vertical="center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horizontal="center" vertical="center"/>
    </xf>
    <xf numFmtId="3" fontId="36" fillId="6" borderId="110" xfId="3" applyNumberFormat="1" applyAlignment="1">
      <alignment horizontal="center" vertical="center"/>
    </xf>
    <xf numFmtId="0" fontId="42" fillId="8" borderId="0" xfId="0" applyFont="1" applyFill="1" applyAlignment="1">
      <alignment vertical="center"/>
    </xf>
    <xf numFmtId="0" fontId="51" fillId="0" borderId="0" xfId="0" applyFont="1"/>
    <xf numFmtId="0" fontId="49" fillId="0" borderId="0" xfId="0" applyFont="1"/>
    <xf numFmtId="0" fontId="48" fillId="0" borderId="0" xfId="0" applyFont="1"/>
    <xf numFmtId="0" fontId="47" fillId="0" borderId="0" xfId="0" applyFont="1" applyAlignment="1">
      <alignment horizontal="right"/>
    </xf>
    <xf numFmtId="0" fontId="47" fillId="0" borderId="0" xfId="0" applyFont="1"/>
    <xf numFmtId="0" fontId="40" fillId="0" borderId="0" xfId="0" applyFont="1" applyAlignment="1">
      <alignment horizontal="left"/>
    </xf>
    <xf numFmtId="0" fontId="40" fillId="0" borderId="0" xfId="0" applyFont="1" applyAlignment="1">
      <alignment horizontal="left" vertical="center" wrapText="1"/>
    </xf>
    <xf numFmtId="0" fontId="59" fillId="0" borderId="0" xfId="0" applyFont="1"/>
    <xf numFmtId="3" fontId="39" fillId="10" borderId="0" xfId="0" applyNumberFormat="1" applyFont="1" applyFill="1" applyAlignment="1" applyProtection="1">
      <alignment horizontal="center" wrapText="1"/>
      <protection locked="0"/>
    </xf>
    <xf numFmtId="0" fontId="60" fillId="0" borderId="0" xfId="0" applyFont="1"/>
    <xf numFmtId="0" fontId="61" fillId="0" borderId="0" xfId="0" applyFont="1"/>
    <xf numFmtId="0" fontId="14" fillId="3" borderId="6" xfId="0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5" fillId="3" borderId="22" xfId="0" applyFont="1" applyFill="1" applyBorder="1" applyAlignment="1">
      <alignment horizontal="center" vertical="center" textRotation="45"/>
    </xf>
    <xf numFmtId="0" fontId="15" fillId="3" borderId="25" xfId="0" applyFont="1" applyFill="1" applyBorder="1" applyAlignment="1">
      <alignment horizontal="center" vertical="center" textRotation="45"/>
    </xf>
    <xf numFmtId="0" fontId="13" fillId="3" borderId="23" xfId="0" applyFont="1" applyFill="1" applyBorder="1" applyAlignment="1">
      <alignment horizontal="left" vertical="center" wrapText="1"/>
    </xf>
    <xf numFmtId="0" fontId="14" fillId="3" borderId="23" xfId="0" applyFont="1" applyFill="1" applyBorder="1" applyAlignment="1">
      <alignment horizontal="left" vertical="center" wrapText="1"/>
    </xf>
    <xf numFmtId="0" fontId="14" fillId="3" borderId="26" xfId="0" applyFont="1" applyFill="1" applyBorder="1" applyAlignment="1">
      <alignment horizontal="left" vertical="center" wrapText="1"/>
    </xf>
    <xf numFmtId="0" fontId="13" fillId="3" borderId="26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13" fillId="4" borderId="23" xfId="0" applyFont="1" applyFill="1" applyBorder="1" applyAlignment="1">
      <alignment horizontal="left" vertical="center" wrapText="1"/>
    </xf>
    <xf numFmtId="0" fontId="14" fillId="4" borderId="23" xfId="0" applyFont="1" applyFill="1" applyBorder="1" applyAlignment="1">
      <alignment horizontal="left" vertical="center" wrapText="1"/>
    </xf>
    <xf numFmtId="0" fontId="8" fillId="3" borderId="81" xfId="0" applyFont="1" applyFill="1" applyBorder="1" applyAlignment="1">
      <alignment horizontal="center" vertical="top"/>
    </xf>
    <xf numFmtId="0" fontId="8" fillId="3" borderId="82" xfId="0" applyFont="1" applyFill="1" applyBorder="1" applyAlignment="1">
      <alignment horizontal="center" vertical="top"/>
    </xf>
    <xf numFmtId="0" fontId="8" fillId="3" borderId="83" xfId="0" applyFont="1" applyFill="1" applyBorder="1" applyAlignment="1">
      <alignment horizontal="center" vertical="top"/>
    </xf>
    <xf numFmtId="0" fontId="27" fillId="3" borderId="0" xfId="0" applyFont="1" applyFill="1" applyAlignment="1">
      <alignment horizontal="center" vertical="center" wrapText="1"/>
    </xf>
    <xf numFmtId="0" fontId="27" fillId="3" borderId="85" xfId="0" applyFont="1" applyFill="1" applyBorder="1" applyAlignment="1">
      <alignment horizontal="center" vertical="center" wrapText="1"/>
    </xf>
    <xf numFmtId="0" fontId="29" fillId="0" borderId="94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29" fillId="0" borderId="97" xfId="0" applyFont="1" applyBorder="1" applyAlignment="1">
      <alignment horizontal="center" vertical="center" wrapText="1"/>
    </xf>
    <xf numFmtId="0" fontId="29" fillId="0" borderId="46" xfId="0" applyFont="1" applyBorder="1" applyAlignment="1">
      <alignment horizontal="center" vertical="center" wrapText="1"/>
    </xf>
    <xf numFmtId="0" fontId="29" fillId="0" borderId="47" xfId="0" applyFont="1" applyBorder="1" applyAlignment="1">
      <alignment horizontal="center" vertical="center" wrapText="1"/>
    </xf>
    <xf numFmtId="0" fontId="27" fillId="3" borderId="88" xfId="0" applyFont="1" applyFill="1" applyBorder="1" applyAlignment="1">
      <alignment horizontal="center" vertical="center" wrapText="1"/>
    </xf>
    <xf numFmtId="165" fontId="28" fillId="2" borderId="73" xfId="0" applyNumberFormat="1" applyFont="1" applyFill="1" applyBorder="1" applyAlignment="1">
      <alignment horizontal="left" vertical="center" wrapText="1"/>
    </xf>
    <xf numFmtId="165" fontId="28" fillId="2" borderId="78" xfId="0" applyNumberFormat="1" applyFont="1" applyFill="1" applyBorder="1" applyAlignment="1">
      <alignment horizontal="left" vertical="center" wrapText="1"/>
    </xf>
    <xf numFmtId="165" fontId="31" fillId="2" borderId="32" xfId="0" applyNumberFormat="1" applyFont="1" applyFill="1" applyBorder="1" applyAlignment="1">
      <alignment horizontal="center" vertical="center"/>
    </xf>
    <xf numFmtId="165" fontId="31" fillId="2" borderId="42" xfId="0" applyNumberFormat="1" applyFont="1" applyFill="1" applyBorder="1" applyAlignment="1">
      <alignment horizontal="center" vertical="center"/>
    </xf>
    <xf numFmtId="49" fontId="34" fillId="2" borderId="90" xfId="1" applyNumberFormat="1" applyFont="1" applyFill="1" applyBorder="1" applyAlignment="1">
      <alignment horizontal="center" vertical="center"/>
    </xf>
    <xf numFmtId="49" fontId="34" fillId="2" borderId="91" xfId="1" applyNumberFormat="1" applyFont="1" applyFill="1" applyBorder="1" applyAlignment="1">
      <alignment horizontal="center" vertical="center"/>
    </xf>
    <xf numFmtId="49" fontId="34" fillId="2" borderId="92" xfId="1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65" fontId="28" fillId="2" borderId="34" xfId="0" applyNumberFormat="1" applyFont="1" applyFill="1" applyBorder="1" applyAlignment="1">
      <alignment horizontal="center" vertical="center"/>
    </xf>
    <xf numFmtId="165" fontId="28" fillId="2" borderId="45" xfId="0" applyNumberFormat="1" applyFont="1" applyFill="1" applyBorder="1" applyAlignment="1">
      <alignment horizontal="center" vertical="center"/>
    </xf>
    <xf numFmtId="165" fontId="28" fillId="2" borderId="35" xfId="0" applyNumberFormat="1" applyFont="1" applyFill="1" applyBorder="1" applyAlignment="1">
      <alignment horizontal="center" vertical="center"/>
    </xf>
    <xf numFmtId="165" fontId="28" fillId="2" borderId="47" xfId="0" applyNumberFormat="1" applyFont="1" applyFill="1" applyBorder="1" applyAlignment="1">
      <alignment horizontal="center" vertical="center"/>
    </xf>
    <xf numFmtId="0" fontId="32" fillId="2" borderId="57" xfId="0" applyFont="1" applyFill="1" applyBorder="1" applyAlignment="1">
      <alignment horizontal="left" vertical="center" wrapText="1"/>
    </xf>
    <xf numFmtId="0" fontId="32" fillId="2" borderId="58" xfId="0" applyFont="1" applyFill="1" applyBorder="1" applyAlignment="1">
      <alignment horizontal="left" vertical="center" wrapText="1"/>
    </xf>
    <xf numFmtId="0" fontId="32" fillId="2" borderId="59" xfId="0" applyFont="1" applyFill="1" applyBorder="1" applyAlignment="1">
      <alignment horizontal="left" vertical="center" wrapText="1"/>
    </xf>
    <xf numFmtId="0" fontId="32" fillId="2" borderId="45" xfId="0" applyFont="1" applyFill="1" applyBorder="1" applyAlignment="1">
      <alignment horizontal="left" vertical="center" wrapText="1"/>
    </xf>
    <xf numFmtId="0" fontId="32" fillId="2" borderId="46" xfId="0" applyFont="1" applyFill="1" applyBorder="1" applyAlignment="1">
      <alignment horizontal="left" vertical="center" wrapText="1"/>
    </xf>
    <xf numFmtId="0" fontId="32" fillId="2" borderId="61" xfId="0" applyFont="1" applyFill="1" applyBorder="1" applyAlignment="1">
      <alignment horizontal="left" vertical="center" wrapText="1"/>
    </xf>
    <xf numFmtId="167" fontId="32" fillId="0" borderId="35" xfId="0" applyNumberFormat="1" applyFont="1" applyBorder="1" applyAlignment="1">
      <alignment horizontal="center" vertical="center"/>
    </xf>
    <xf numFmtId="167" fontId="32" fillId="0" borderId="47" xfId="0" applyNumberFormat="1" applyFont="1" applyBorder="1" applyAlignment="1">
      <alignment horizontal="center" vertical="center"/>
    </xf>
    <xf numFmtId="0" fontId="27" fillId="3" borderId="28" xfId="0" applyFont="1" applyFill="1" applyBorder="1" applyAlignment="1">
      <alignment horizontal="center" vertical="center" wrapText="1"/>
    </xf>
    <xf numFmtId="0" fontId="27" fillId="3" borderId="43" xfId="0" applyFont="1" applyFill="1" applyBorder="1" applyAlignment="1">
      <alignment horizontal="center" vertical="center" wrapText="1"/>
    </xf>
    <xf numFmtId="165" fontId="28" fillId="2" borderId="102" xfId="0" applyNumberFormat="1" applyFont="1" applyFill="1" applyBorder="1" applyAlignment="1">
      <alignment horizontal="center" vertical="center"/>
    </xf>
    <xf numFmtId="165" fontId="28" fillId="2" borderId="103" xfId="0" applyNumberFormat="1" applyFont="1" applyFill="1" applyBorder="1" applyAlignment="1">
      <alignment horizontal="center" vertical="center"/>
    </xf>
    <xf numFmtId="165" fontId="28" fillId="2" borderId="107" xfId="0" applyNumberFormat="1" applyFont="1" applyFill="1" applyBorder="1" applyAlignment="1">
      <alignment horizontal="center" vertical="center"/>
    </xf>
    <xf numFmtId="165" fontId="28" fillId="2" borderId="108" xfId="0" applyNumberFormat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top"/>
    </xf>
    <xf numFmtId="0" fontId="8" fillId="3" borderId="0" xfId="0" applyFont="1" applyFill="1" applyAlignment="1">
      <alignment horizontal="center" vertical="top"/>
    </xf>
    <xf numFmtId="0" fontId="27" fillId="3" borderId="30" xfId="0" applyFont="1" applyFill="1" applyBorder="1" applyAlignment="1">
      <alignment horizontal="center" vertical="center" wrapText="1"/>
    </xf>
    <xf numFmtId="0" fontId="27" fillId="3" borderId="36" xfId="0" applyFont="1" applyFill="1" applyBorder="1" applyAlignment="1">
      <alignment horizontal="center" vertical="center" wrapText="1"/>
    </xf>
    <xf numFmtId="0" fontId="27" fillId="3" borderId="98" xfId="0" applyFont="1" applyFill="1" applyBorder="1" applyAlignment="1">
      <alignment horizontal="center" vertical="center" wrapText="1"/>
    </xf>
    <xf numFmtId="0" fontId="27" fillId="3" borderId="67" xfId="0" applyFont="1" applyFill="1" applyBorder="1" applyAlignment="1">
      <alignment horizontal="center" vertical="center" wrapText="1"/>
    </xf>
    <xf numFmtId="0" fontId="27" fillId="3" borderId="70" xfId="0" applyFont="1" applyFill="1" applyBorder="1" applyAlignment="1">
      <alignment horizontal="center" vertical="center" wrapText="1"/>
    </xf>
    <xf numFmtId="165" fontId="28" fillId="2" borderId="68" xfId="0" applyNumberFormat="1" applyFont="1" applyFill="1" applyBorder="1" applyAlignment="1">
      <alignment horizontal="center" vertical="center" wrapText="1"/>
    </xf>
    <xf numFmtId="165" fontId="28" fillId="2" borderId="58" xfId="0" applyNumberFormat="1" applyFont="1" applyFill="1" applyBorder="1" applyAlignment="1">
      <alignment horizontal="center" vertical="center" wrapText="1"/>
    </xf>
    <xf numFmtId="165" fontId="28" fillId="2" borderId="69" xfId="0" applyNumberFormat="1" applyFont="1" applyFill="1" applyBorder="1" applyAlignment="1">
      <alignment horizontal="center" vertical="center" wrapText="1"/>
    </xf>
    <xf numFmtId="165" fontId="28" fillId="2" borderId="71" xfId="0" applyNumberFormat="1" applyFont="1" applyFill="1" applyBorder="1" applyAlignment="1">
      <alignment horizontal="center" vertical="center"/>
    </xf>
    <xf numFmtId="165" fontId="28" fillId="2" borderId="72" xfId="0" applyNumberFormat="1" applyFont="1" applyFill="1" applyBorder="1" applyAlignment="1">
      <alignment horizontal="center" vertical="center"/>
    </xf>
    <xf numFmtId="165" fontId="28" fillId="2" borderId="73" xfId="0" applyNumberFormat="1" applyFont="1" applyFill="1" applyBorder="1" applyAlignment="1">
      <alignment horizontal="center" vertical="center"/>
    </xf>
    <xf numFmtId="165" fontId="28" fillId="2" borderId="74" xfId="0" applyNumberFormat="1" applyFont="1" applyFill="1" applyBorder="1" applyAlignment="1">
      <alignment horizontal="center" vertical="center"/>
    </xf>
    <xf numFmtId="165" fontId="28" fillId="2" borderId="40" xfId="0" applyNumberFormat="1" applyFont="1" applyFill="1" applyBorder="1" applyAlignment="1">
      <alignment horizontal="center" vertical="center"/>
    </xf>
    <xf numFmtId="165" fontId="28" fillId="2" borderId="75" xfId="0" applyNumberFormat="1" applyFont="1" applyFill="1" applyBorder="1" applyAlignment="1">
      <alignment horizontal="center" vertical="center"/>
    </xf>
    <xf numFmtId="0" fontId="27" fillId="3" borderId="99" xfId="0" applyFont="1" applyFill="1" applyBorder="1" applyAlignment="1">
      <alignment horizontal="center" vertical="center" wrapText="1"/>
    </xf>
    <xf numFmtId="0" fontId="27" fillId="3" borderId="100" xfId="0" applyFont="1" applyFill="1" applyBorder="1" applyAlignment="1">
      <alignment horizontal="center" vertical="center" wrapText="1"/>
    </xf>
    <xf numFmtId="165" fontId="28" fillId="2" borderId="76" xfId="0" applyNumberFormat="1" applyFont="1" applyFill="1" applyBorder="1" applyAlignment="1">
      <alignment horizontal="center" vertical="center"/>
    </xf>
    <xf numFmtId="165" fontId="28" fillId="2" borderId="77" xfId="0" applyNumberFormat="1" applyFont="1" applyFill="1" applyBorder="1" applyAlignment="1">
      <alignment horizontal="center" vertical="center"/>
    </xf>
    <xf numFmtId="165" fontId="28" fillId="2" borderId="78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top"/>
    </xf>
    <xf numFmtId="0" fontId="52" fillId="0" borderId="0" xfId="0" applyFont="1" applyAlignment="1">
      <alignment horizontal="right" vertical="top"/>
    </xf>
    <xf numFmtId="3" fontId="52" fillId="0" borderId="0" xfId="0" applyNumberFormat="1" applyFont="1" applyAlignment="1">
      <alignment horizontal="center" vertical="top"/>
    </xf>
    <xf numFmtId="0" fontId="8" fillId="3" borderId="115" xfId="0" applyFont="1" applyFill="1" applyBorder="1" applyAlignment="1">
      <alignment horizontal="center" vertical="top"/>
    </xf>
    <xf numFmtId="0" fontId="8" fillId="3" borderId="116" xfId="0" applyFont="1" applyFill="1" applyBorder="1" applyAlignment="1">
      <alignment horizontal="center" vertical="top"/>
    </xf>
    <xf numFmtId="0" fontId="8" fillId="3" borderId="117" xfId="0" applyFont="1" applyFill="1" applyBorder="1" applyAlignment="1">
      <alignment horizontal="center" vertical="top"/>
    </xf>
    <xf numFmtId="165" fontId="28" fillId="2" borderId="32" xfId="0" applyNumberFormat="1" applyFont="1" applyFill="1" applyBorder="1" applyAlignment="1">
      <alignment horizontal="center" vertical="center"/>
    </xf>
    <xf numFmtId="165" fontId="28" fillId="2" borderId="42" xfId="0" applyNumberFormat="1" applyFont="1" applyFill="1" applyBorder="1" applyAlignment="1">
      <alignment horizontal="center" vertical="center"/>
    </xf>
    <xf numFmtId="0" fontId="14" fillId="3" borderId="112" xfId="0" applyFont="1" applyFill="1" applyBorder="1" applyAlignment="1">
      <alignment horizontal="left" vertical="center" wrapText="1"/>
    </xf>
    <xf numFmtId="0" fontId="14" fillId="3" borderId="113" xfId="0" applyFont="1" applyFill="1" applyBorder="1" applyAlignment="1">
      <alignment horizontal="left" vertical="center" wrapText="1"/>
    </xf>
    <xf numFmtId="0" fontId="14" fillId="3" borderId="114" xfId="0" applyFont="1" applyFill="1" applyBorder="1" applyAlignment="1">
      <alignment horizontal="left" vertical="center" wrapText="1"/>
    </xf>
    <xf numFmtId="0" fontId="55" fillId="0" borderId="0" xfId="0" applyFont="1" applyAlignment="1">
      <alignment horizontal="left" vertical="center"/>
    </xf>
    <xf numFmtId="0" fontId="0" fillId="0" borderId="0" xfId="0"/>
    <xf numFmtId="0" fontId="50" fillId="11" borderId="0" xfId="0" applyFont="1" applyFill="1" applyAlignment="1">
      <alignment horizontal="center"/>
    </xf>
  </cellXfs>
  <cellStyles count="6">
    <cellStyle name="20% - Accent4" xfId="4" builtinId="42"/>
    <cellStyle name="Comma" xfId="1" builtinId="3"/>
    <cellStyle name="Hyperlink" xfId="5" builtinId="8"/>
    <cellStyle name="Normal" xfId="0" builtinId="0"/>
    <cellStyle name="Output" xfId="3" builtinId="21"/>
    <cellStyle name="Percent" xfId="2" builtinId="5"/>
  </cellStyles>
  <dxfs count="144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787878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787878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787878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FFCC33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ill>
        <patternFill>
          <bgColor rgb="FF00CCFF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C94A34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  <dxf>
      <font>
        <color theme="0"/>
      </font>
      <fill>
        <patternFill>
          <bgColor rgb="FF4472C5"/>
        </patternFill>
      </fill>
    </dxf>
  </dxfs>
  <tableStyles count="0" defaultTableStyle="TableStyleMedium2" defaultPivotStyle="PivotStyleLight16"/>
  <colors>
    <mruColors>
      <color rgb="FFFFCC33"/>
      <color rgb="FFC94A34"/>
      <color rgb="FF4472C5"/>
      <color rgb="FF787878"/>
      <color rgb="FF00CCFF"/>
      <color rgb="FF89E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51093</xdr:colOff>
      <xdr:row>0</xdr:row>
      <xdr:rowOff>131379</xdr:rowOff>
    </xdr:from>
    <xdr:to>
      <xdr:col>9</xdr:col>
      <xdr:colOff>439560</xdr:colOff>
      <xdr:row>4</xdr:row>
      <xdr:rowOff>7919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09F2AA9-A336-4D50-950B-EA0DBEAC6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77818" y="131379"/>
          <a:ext cx="1734667" cy="848090"/>
        </a:xfrm>
        <a:prstGeom prst="rect">
          <a:avLst/>
        </a:prstGeom>
      </xdr:spPr>
    </xdr:pic>
    <xdr:clientData/>
  </xdr:twoCellAnchor>
  <xdr:twoCellAnchor editAs="oneCell">
    <xdr:from>
      <xdr:col>0</xdr:col>
      <xdr:colOff>379121</xdr:colOff>
      <xdr:row>0</xdr:row>
      <xdr:rowOff>0</xdr:rowOff>
    </xdr:from>
    <xdr:to>
      <xdr:col>2</xdr:col>
      <xdr:colOff>357478</xdr:colOff>
      <xdr:row>5</xdr:row>
      <xdr:rowOff>4049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CBD302-7064-0E47-90D0-52D8545D5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79121" y="0"/>
          <a:ext cx="1984957" cy="11930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80208</xdr:colOff>
      <xdr:row>1</xdr:row>
      <xdr:rowOff>185854</xdr:rowOff>
    </xdr:from>
    <xdr:to>
      <xdr:col>3</xdr:col>
      <xdr:colOff>64461</xdr:colOff>
      <xdr:row>8</xdr:row>
      <xdr:rowOff>21490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7300E4-A71B-7841-A087-8116F0085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1008" y="376354"/>
          <a:ext cx="2409953" cy="14485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259500</xdr:colOff>
      <xdr:row>0</xdr:row>
      <xdr:rowOff>122464</xdr:rowOff>
    </xdr:from>
    <xdr:to>
      <xdr:col>2</xdr:col>
      <xdr:colOff>320166</xdr:colOff>
      <xdr:row>4</xdr:row>
      <xdr:rowOff>106237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DD92546-14A4-4D44-AF9C-7CC0369D5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0500" y="122464"/>
          <a:ext cx="1693523" cy="1017916"/>
        </a:xfrm>
        <a:prstGeom prst="rect">
          <a:avLst/>
        </a:prstGeom>
      </xdr:spPr>
    </xdr:pic>
    <xdr:clientData/>
  </xdr:twoCellAnchor>
  <xdr:twoCellAnchor editAs="oneCell">
    <xdr:from>
      <xdr:col>8</xdr:col>
      <xdr:colOff>51093</xdr:colOff>
      <xdr:row>0</xdr:row>
      <xdr:rowOff>131379</xdr:rowOff>
    </xdr:from>
    <xdr:to>
      <xdr:col>9</xdr:col>
      <xdr:colOff>439560</xdr:colOff>
      <xdr:row>4</xdr:row>
      <xdr:rowOff>11094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2B91F523-E014-724F-83A3-916BB4EDC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811293" y="131379"/>
          <a:ext cx="1861667" cy="8830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50800</xdr:rowOff>
    </xdr:from>
    <xdr:to>
      <xdr:col>2</xdr:col>
      <xdr:colOff>73153</xdr:colOff>
      <xdr:row>7</xdr:row>
      <xdr:rowOff>95986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645581F-3231-3D42-8725-FD1F7E75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241300"/>
          <a:ext cx="2409953" cy="144853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309026</xdr:colOff>
      <xdr:row>0</xdr:row>
      <xdr:rowOff>163286</xdr:rowOff>
    </xdr:from>
    <xdr:to>
      <xdr:col>1</xdr:col>
      <xdr:colOff>1738851</xdr:colOff>
      <xdr:row>4</xdr:row>
      <xdr:rowOff>103062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253631A-CD56-C140-899E-9368AB61E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0026" y="163286"/>
          <a:ext cx="1620325" cy="973919"/>
        </a:xfrm>
        <a:prstGeom prst="rect">
          <a:avLst/>
        </a:prstGeom>
      </xdr:spPr>
    </xdr:pic>
    <xdr:clientData/>
  </xdr:twoCellAnchor>
  <xdr:twoCellAnchor editAs="oneCell">
    <xdr:from>
      <xdr:col>8</xdr:col>
      <xdr:colOff>1058022</xdr:colOff>
      <xdr:row>1</xdr:row>
      <xdr:rowOff>36130</xdr:rowOff>
    </xdr:from>
    <xdr:to>
      <xdr:col>9</xdr:col>
      <xdr:colOff>1255989</xdr:colOff>
      <xdr:row>4</xdr:row>
      <xdr:rowOff>89563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D2E1717-D1B4-0845-9360-74524E623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02422" y="226630"/>
          <a:ext cx="1874367" cy="86623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59944</xdr:colOff>
      <xdr:row>1</xdr:row>
      <xdr:rowOff>185854</xdr:rowOff>
    </xdr:from>
    <xdr:to>
      <xdr:col>2</xdr:col>
      <xdr:colOff>104522</xdr:colOff>
      <xdr:row>8</xdr:row>
      <xdr:rowOff>21490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DE586A-7B13-4B45-A0D2-8EAD8523D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768" y="380089"/>
          <a:ext cx="2445998" cy="14702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3E234-CA25-4FD5-AA3A-20E2BF2ECFDE}">
  <sheetPr codeName="Sheet1">
    <tabColor rgb="FF4472C5"/>
    <pageSetUpPr fitToPage="1"/>
  </sheetPr>
  <dimension ref="A1:K53"/>
  <sheetViews>
    <sheetView showGridLines="0" showRowColHeaders="0" topLeftCell="B9" workbookViewId="0">
      <selection activeCell="D54" sqref="D54"/>
    </sheetView>
  </sheetViews>
  <sheetFormatPr defaultColWidth="10.625" defaultRowHeight="15" x14ac:dyDescent="0.2"/>
  <cols>
    <col min="1" max="1" width="4.9765625" customWidth="1"/>
    <col min="2" max="2" width="21.38671875" customWidth="1"/>
    <col min="3" max="3" width="50.84765625" customWidth="1"/>
    <col min="4" max="4" width="15.46875" customWidth="1"/>
    <col min="5" max="5" width="6.45703125" customWidth="1"/>
    <col min="6" max="6" width="14.66015625" customWidth="1"/>
    <col min="7" max="10" width="19.37109375" bestFit="1" customWidth="1"/>
    <col min="11" max="11" width="4.9765625" customWidth="1"/>
    <col min="14" max="14" width="9.14453125" customWidth="1"/>
  </cols>
  <sheetData>
    <row r="1" spans="1:11" x14ac:dyDescent="0.2">
      <c r="A1" s="1"/>
      <c r="B1" s="2"/>
      <c r="C1" s="2"/>
      <c r="D1" s="2"/>
      <c r="E1" s="3"/>
      <c r="F1" s="2"/>
      <c r="G1" s="4"/>
      <c r="H1" s="2"/>
      <c r="I1" s="5"/>
      <c r="J1" s="2"/>
      <c r="K1" s="6"/>
    </row>
    <row r="2" spans="1:11" ht="34.5" x14ac:dyDescent="0.5">
      <c r="A2" s="7"/>
      <c r="C2" s="183"/>
      <c r="D2" s="183"/>
      <c r="E2" s="183"/>
      <c r="F2" s="183"/>
      <c r="G2" s="183"/>
      <c r="H2" s="183"/>
      <c r="I2" s="8"/>
      <c r="K2" s="9"/>
    </row>
    <row r="3" spans="1:11" x14ac:dyDescent="0.2">
      <c r="A3" s="7"/>
      <c r="E3" s="10"/>
      <c r="G3" s="11"/>
      <c r="I3" s="8"/>
      <c r="K3" s="9"/>
    </row>
    <row r="4" spans="1:11" x14ac:dyDescent="0.2">
      <c r="A4" s="7"/>
      <c r="E4" s="10"/>
      <c r="G4" s="11"/>
      <c r="I4" s="8"/>
      <c r="K4" s="9"/>
    </row>
    <row r="5" spans="1:11" ht="15.75" thickBot="1" x14ac:dyDescent="0.25">
      <c r="A5" s="7"/>
      <c r="E5" s="10"/>
      <c r="G5" s="11"/>
      <c r="I5" s="8"/>
      <c r="K5" s="9"/>
    </row>
    <row r="6" spans="1:11" ht="25.5" thickBot="1" x14ac:dyDescent="0.35">
      <c r="A6" s="7"/>
      <c r="B6" s="184" t="s">
        <v>0</v>
      </c>
      <c r="C6" s="185"/>
      <c r="D6" s="185"/>
      <c r="E6" s="185"/>
      <c r="F6" s="185"/>
      <c r="G6" s="185"/>
      <c r="H6" s="185"/>
      <c r="I6" s="185"/>
      <c r="J6" s="186"/>
      <c r="K6" s="12"/>
    </row>
    <row r="7" spans="1:11" x14ac:dyDescent="0.2">
      <c r="A7" s="7"/>
      <c r="B7" s="13"/>
      <c r="C7" s="14"/>
      <c r="D7" s="14"/>
      <c r="E7" s="14"/>
      <c r="F7" s="14"/>
      <c r="G7" s="14"/>
      <c r="H7" s="14"/>
      <c r="I7" s="14"/>
      <c r="J7" s="15"/>
      <c r="K7" s="16"/>
    </row>
    <row r="8" spans="1:11" ht="15.75" thickBot="1" x14ac:dyDescent="0.25">
      <c r="A8" s="7"/>
      <c r="B8" s="17"/>
      <c r="C8" s="18"/>
      <c r="D8" s="18"/>
      <c r="E8" s="19"/>
      <c r="F8" s="18"/>
      <c r="G8" s="20"/>
      <c r="H8" s="18"/>
      <c r="I8" s="21"/>
      <c r="J8" s="22"/>
      <c r="K8" s="23"/>
    </row>
    <row r="9" spans="1:11" ht="21.75" thickBot="1" x14ac:dyDescent="0.3">
      <c r="A9" s="7"/>
      <c r="B9" s="187" t="s">
        <v>1</v>
      </c>
      <c r="C9" s="188"/>
      <c r="D9" s="188"/>
      <c r="E9" s="188"/>
      <c r="F9" s="188"/>
      <c r="G9" s="188"/>
      <c r="H9" s="188"/>
      <c r="I9" s="188"/>
      <c r="J9" s="189"/>
      <c r="K9" s="24"/>
    </row>
    <row r="10" spans="1:11" ht="18" x14ac:dyDescent="0.2">
      <c r="A10" s="7"/>
      <c r="B10" s="190"/>
      <c r="C10" s="191"/>
      <c r="D10" s="191"/>
      <c r="E10" s="191"/>
      <c r="F10" s="192"/>
      <c r="G10" s="25" t="s">
        <v>2</v>
      </c>
      <c r="H10" s="26" t="s">
        <v>3</v>
      </c>
      <c r="I10" s="27" t="s">
        <v>4</v>
      </c>
      <c r="J10" s="28" t="s">
        <v>5</v>
      </c>
      <c r="K10" s="24"/>
    </row>
    <row r="11" spans="1:11" ht="18" x14ac:dyDescent="0.2">
      <c r="A11" s="7"/>
      <c r="B11" s="29" t="s">
        <v>6</v>
      </c>
      <c r="C11" s="193" t="s">
        <v>7</v>
      </c>
      <c r="D11" s="194"/>
      <c r="E11" s="194"/>
      <c r="F11" s="194"/>
      <c r="G11" s="30">
        <v>18469</v>
      </c>
      <c r="H11" s="31">
        <v>17074</v>
      </c>
      <c r="I11" s="32">
        <v>22935</v>
      </c>
      <c r="J11" s="33">
        <v>26889</v>
      </c>
      <c r="K11" s="24"/>
    </row>
    <row r="12" spans="1:11" ht="40.35" customHeight="1" x14ac:dyDescent="0.2">
      <c r="A12" s="7"/>
      <c r="B12" s="177" t="s">
        <v>8</v>
      </c>
      <c r="C12" s="179" t="s">
        <v>9</v>
      </c>
      <c r="D12" s="179"/>
      <c r="E12" s="179"/>
      <c r="F12" s="179"/>
      <c r="G12" s="34">
        <v>13667</v>
      </c>
      <c r="H12" s="35">
        <v>12635</v>
      </c>
      <c r="I12" s="36">
        <v>16972</v>
      </c>
      <c r="J12" s="37">
        <v>19898</v>
      </c>
      <c r="K12" s="24"/>
    </row>
    <row r="13" spans="1:11" ht="40.35" customHeight="1" x14ac:dyDescent="0.2">
      <c r="A13" s="7"/>
      <c r="B13" s="177"/>
      <c r="C13" s="180" t="s">
        <v>10</v>
      </c>
      <c r="D13" s="179"/>
      <c r="E13" s="179"/>
      <c r="F13" s="179"/>
      <c r="G13" s="34">
        <v>13298</v>
      </c>
      <c r="H13" s="35">
        <v>12293</v>
      </c>
      <c r="I13" s="36">
        <v>16513</v>
      </c>
      <c r="J13" s="37">
        <v>19360</v>
      </c>
      <c r="K13" s="24"/>
    </row>
    <row r="14" spans="1:11" ht="40.35" customHeight="1" x14ac:dyDescent="0.2">
      <c r="A14" s="7"/>
      <c r="B14" s="177"/>
      <c r="C14" s="180" t="s">
        <v>11</v>
      </c>
      <c r="D14" s="179"/>
      <c r="E14" s="179"/>
      <c r="F14" s="179"/>
      <c r="G14" s="34">
        <v>11451</v>
      </c>
      <c r="H14" s="35">
        <v>10586</v>
      </c>
      <c r="I14" s="36">
        <v>14219</v>
      </c>
      <c r="J14" s="37">
        <v>16671</v>
      </c>
      <c r="K14" s="24"/>
    </row>
    <row r="15" spans="1:11" ht="40.35" customHeight="1" x14ac:dyDescent="0.2">
      <c r="A15" s="7"/>
      <c r="B15" s="177"/>
      <c r="C15" s="180" t="s">
        <v>12</v>
      </c>
      <c r="D15" s="179"/>
      <c r="E15" s="179"/>
      <c r="F15" s="179"/>
      <c r="G15" s="34">
        <v>10527</v>
      </c>
      <c r="H15" s="35">
        <v>9732</v>
      </c>
      <c r="I15" s="36">
        <v>13073</v>
      </c>
      <c r="J15" s="37">
        <v>15327</v>
      </c>
      <c r="K15" s="24"/>
    </row>
    <row r="16" spans="1:11" ht="38.25" customHeight="1" x14ac:dyDescent="0.2">
      <c r="A16" s="7"/>
      <c r="B16" s="177"/>
      <c r="C16" s="180" t="s">
        <v>13</v>
      </c>
      <c r="D16" s="179"/>
      <c r="E16" s="179"/>
      <c r="F16" s="179"/>
      <c r="G16" s="34">
        <v>10158</v>
      </c>
      <c r="H16" s="35">
        <v>9391</v>
      </c>
      <c r="I16" s="36">
        <v>12614</v>
      </c>
      <c r="J16" s="37">
        <v>14789</v>
      </c>
      <c r="K16" s="24"/>
    </row>
    <row r="17" spans="1:11" ht="41.85" customHeight="1" thickBot="1" x14ac:dyDescent="0.25">
      <c r="A17" s="7"/>
      <c r="B17" s="178"/>
      <c r="C17" s="181" t="s">
        <v>14</v>
      </c>
      <c r="D17" s="182"/>
      <c r="E17" s="182"/>
      <c r="F17" s="182"/>
      <c r="G17" s="38">
        <v>8311</v>
      </c>
      <c r="H17" s="39">
        <v>7683</v>
      </c>
      <c r="I17" s="40">
        <v>10321</v>
      </c>
      <c r="J17" s="41">
        <v>12100</v>
      </c>
      <c r="K17" s="24"/>
    </row>
    <row r="18" spans="1:11" ht="18.75" thickBot="1" x14ac:dyDescent="0.25">
      <c r="A18" s="7"/>
      <c r="B18" s="42"/>
      <c r="C18" s="43"/>
      <c r="D18" s="43"/>
      <c r="E18" s="43"/>
      <c r="F18" s="44"/>
      <c r="G18" s="44"/>
      <c r="H18" s="44"/>
      <c r="I18" s="44"/>
      <c r="J18" s="45"/>
      <c r="K18" s="24"/>
    </row>
    <row r="19" spans="1:11" ht="19.350000000000001" customHeight="1" thickBot="1" x14ac:dyDescent="0.25">
      <c r="A19" s="7"/>
      <c r="B19" s="175" t="s">
        <v>15</v>
      </c>
      <c r="C19" s="176"/>
      <c r="D19" s="176"/>
      <c r="E19" s="176"/>
      <c r="F19" s="176"/>
      <c r="G19" s="120">
        <v>-0.05</v>
      </c>
      <c r="H19" s="44"/>
      <c r="I19" s="44"/>
      <c r="J19" s="45"/>
      <c r="K19" s="24"/>
    </row>
    <row r="20" spans="1:11" ht="15.75" thickBot="1" x14ac:dyDescent="0.25">
      <c r="A20" s="7"/>
      <c r="B20" s="119"/>
      <c r="C20" s="46"/>
      <c r="D20" s="47"/>
      <c r="E20" s="47"/>
      <c r="F20" s="48"/>
      <c r="G20" s="49"/>
      <c r="H20" s="48"/>
      <c r="I20" s="50"/>
      <c r="J20" s="48"/>
      <c r="K20" s="24"/>
    </row>
    <row r="21" spans="1:11" ht="21.75" thickBot="1" x14ac:dyDescent="0.3">
      <c r="A21" s="7"/>
      <c r="B21" s="195" t="s">
        <v>16</v>
      </c>
      <c r="C21" s="196"/>
      <c r="D21" s="197"/>
      <c r="E21" s="51"/>
      <c r="F21" s="187" t="s">
        <v>17</v>
      </c>
      <c r="G21" s="188"/>
      <c r="H21" s="188"/>
      <c r="I21" s="188"/>
      <c r="J21" s="189"/>
      <c r="K21" s="24"/>
    </row>
    <row r="22" spans="1:11" ht="19.350000000000001" customHeight="1" x14ac:dyDescent="0.2">
      <c r="A22" s="7"/>
      <c r="B22" s="198" t="s">
        <v>18</v>
      </c>
      <c r="C22" s="91" t="s">
        <v>19</v>
      </c>
      <c r="D22" s="115">
        <v>1000</v>
      </c>
      <c r="E22" s="54"/>
      <c r="F22" s="92"/>
      <c r="G22" s="25" t="s">
        <v>2</v>
      </c>
      <c r="H22" s="26" t="s">
        <v>3</v>
      </c>
      <c r="I22" s="27" t="s">
        <v>4</v>
      </c>
      <c r="J22" s="28" t="s">
        <v>5</v>
      </c>
      <c r="K22" s="24"/>
    </row>
    <row r="23" spans="1:11" ht="18" x14ac:dyDescent="0.2">
      <c r="A23" s="7"/>
      <c r="B23" s="198"/>
      <c r="C23" s="93" t="s">
        <v>20</v>
      </c>
      <c r="D23" s="116">
        <v>1250</v>
      </c>
      <c r="E23" s="54"/>
      <c r="F23" s="94" t="s">
        <v>21</v>
      </c>
      <c r="G23" s="95">
        <v>2003</v>
      </c>
      <c r="H23" s="96">
        <v>2003</v>
      </c>
      <c r="I23" s="97"/>
      <c r="J23" s="98"/>
      <c r="K23" s="24"/>
    </row>
    <row r="24" spans="1:11" ht="18.75" thickBot="1" x14ac:dyDescent="0.25">
      <c r="A24" s="7"/>
      <c r="B24" s="198"/>
      <c r="C24" s="99" t="s">
        <v>22</v>
      </c>
      <c r="D24" s="117">
        <v>4000</v>
      </c>
      <c r="E24" s="59"/>
      <c r="F24" s="94" t="s">
        <v>23</v>
      </c>
      <c r="G24" s="34">
        <v>2517</v>
      </c>
      <c r="H24" s="35">
        <v>2517</v>
      </c>
      <c r="I24" s="36">
        <v>2517</v>
      </c>
      <c r="J24" s="37">
        <v>1837</v>
      </c>
      <c r="K24" s="24"/>
    </row>
    <row r="25" spans="1:11" ht="19.350000000000001" customHeight="1" x14ac:dyDescent="0.2">
      <c r="A25" s="7"/>
      <c r="B25" s="199" t="s">
        <v>24</v>
      </c>
      <c r="C25" s="207" t="s">
        <v>19</v>
      </c>
      <c r="D25" s="209">
        <v>275</v>
      </c>
      <c r="E25" s="60"/>
      <c r="F25" s="100" t="s">
        <v>25</v>
      </c>
      <c r="G25" s="101"/>
      <c r="H25" s="102">
        <v>1050</v>
      </c>
      <c r="I25" s="103">
        <v>1050</v>
      </c>
      <c r="J25" s="104">
        <v>0</v>
      </c>
      <c r="K25" s="24"/>
    </row>
    <row r="26" spans="1:11" ht="23.25" customHeight="1" thickBot="1" x14ac:dyDescent="0.25">
      <c r="A26" s="7"/>
      <c r="B26" s="206"/>
      <c r="C26" s="208"/>
      <c r="D26" s="210"/>
      <c r="E26" s="61"/>
      <c r="F26" s="105" t="s">
        <v>26</v>
      </c>
      <c r="G26" s="211" t="s">
        <v>27</v>
      </c>
      <c r="H26" s="212"/>
      <c r="I26" s="212"/>
      <c r="J26" s="213"/>
      <c r="K26" s="24"/>
    </row>
    <row r="27" spans="1:11" ht="21" customHeight="1" x14ac:dyDescent="0.2">
      <c r="A27" s="62"/>
      <c r="B27" s="199" t="s">
        <v>28</v>
      </c>
      <c r="C27" s="106" t="s">
        <v>29</v>
      </c>
      <c r="D27" s="63">
        <v>350</v>
      </c>
      <c r="E27" s="107"/>
      <c r="F27" s="200" t="s">
        <v>30</v>
      </c>
      <c r="G27" s="201"/>
      <c r="H27" s="201"/>
      <c r="I27" s="201"/>
      <c r="J27" s="202"/>
      <c r="K27" s="24"/>
    </row>
    <row r="28" spans="1:11" ht="18.75" thickBot="1" x14ac:dyDescent="0.25">
      <c r="A28" s="64"/>
      <c r="B28" s="198"/>
      <c r="C28" s="93" t="s">
        <v>31</v>
      </c>
      <c r="D28" s="56">
        <v>760</v>
      </c>
      <c r="E28" s="65"/>
      <c r="F28" s="203"/>
      <c r="G28" s="204"/>
      <c r="H28" s="204"/>
      <c r="I28" s="204"/>
      <c r="J28" s="205"/>
      <c r="K28" s="24"/>
    </row>
    <row r="29" spans="1:11" ht="18" x14ac:dyDescent="0.2">
      <c r="A29" s="64"/>
      <c r="B29" s="198"/>
      <c r="C29" s="93" t="s">
        <v>32</v>
      </c>
      <c r="D29" s="56">
        <v>760</v>
      </c>
      <c r="E29" s="65"/>
      <c r="F29" s="66"/>
      <c r="G29" s="67"/>
      <c r="H29" s="67"/>
      <c r="I29" s="67"/>
      <c r="J29" s="67"/>
      <c r="K29" s="68"/>
    </row>
    <row r="30" spans="1:11" ht="18" customHeight="1" thickBot="1" x14ac:dyDescent="0.25">
      <c r="A30" s="69"/>
      <c r="B30" s="198"/>
      <c r="C30" s="99" t="s">
        <v>33</v>
      </c>
      <c r="D30" s="58">
        <v>760</v>
      </c>
      <c r="E30" s="65"/>
      <c r="F30" s="70"/>
      <c r="G30" s="71"/>
      <c r="H30" s="71"/>
      <c r="I30" s="71"/>
      <c r="J30" s="71"/>
      <c r="K30" s="68"/>
    </row>
    <row r="31" spans="1:11" ht="15.75" thickBot="1" x14ac:dyDescent="0.25">
      <c r="A31" s="69"/>
      <c r="B31" s="45"/>
      <c r="C31" s="72"/>
      <c r="D31" s="73"/>
      <c r="E31" s="74"/>
      <c r="F31" s="75"/>
      <c r="G31" s="75"/>
      <c r="H31" s="75"/>
      <c r="I31" s="75"/>
      <c r="J31" s="75"/>
      <c r="K31" s="68"/>
    </row>
    <row r="32" spans="1:11" ht="21.75" thickBot="1" x14ac:dyDescent="0.25">
      <c r="A32" s="7"/>
      <c r="B32" s="214" t="s">
        <v>34</v>
      </c>
      <c r="C32" s="215"/>
      <c r="D32" s="216"/>
      <c r="E32" s="76"/>
      <c r="F32" s="214" t="s">
        <v>35</v>
      </c>
      <c r="G32" s="215"/>
      <c r="H32" s="215"/>
      <c r="I32" s="215"/>
      <c r="J32" s="216"/>
      <c r="K32" s="24"/>
    </row>
    <row r="33" spans="1:11" ht="19.5" x14ac:dyDescent="0.2">
      <c r="A33" s="7"/>
      <c r="B33" s="217" t="s">
        <v>36</v>
      </c>
      <c r="C33" s="77" t="s">
        <v>37</v>
      </c>
      <c r="D33" s="219">
        <v>600</v>
      </c>
      <c r="E33" s="78"/>
      <c r="F33" s="221" t="s">
        <v>38</v>
      </c>
      <c r="G33" s="222"/>
      <c r="H33" s="222"/>
      <c r="I33" s="223"/>
      <c r="J33" s="227">
        <v>11</v>
      </c>
      <c r="K33" s="24"/>
    </row>
    <row r="34" spans="1:11" ht="21.75" thickBot="1" x14ac:dyDescent="0.25">
      <c r="A34" s="62"/>
      <c r="B34" s="218"/>
      <c r="C34" s="79" t="str">
        <f xml:space="preserve"> "Soit une participation forfaitaire de "&amp;TEXT(2*D33, "0") &amp;" CHF/ an"</f>
        <v>Soit une participation forfaitaire de 1200 CHF/ an</v>
      </c>
      <c r="D34" s="220"/>
      <c r="E34" s="78"/>
      <c r="F34" s="224"/>
      <c r="G34" s="225"/>
      <c r="H34" s="225"/>
      <c r="I34" s="226"/>
      <c r="J34" s="228"/>
      <c r="K34" s="24"/>
    </row>
    <row r="35" spans="1:11" x14ac:dyDescent="0.2">
      <c r="A35" s="80"/>
      <c r="B35" s="67"/>
      <c r="C35" s="67"/>
      <c r="D35" s="67"/>
      <c r="E35" s="81"/>
      <c r="F35" s="67"/>
      <c r="G35" s="67"/>
      <c r="H35" s="67"/>
      <c r="I35" s="67"/>
      <c r="J35" s="67"/>
      <c r="K35" s="82"/>
    </row>
    <row r="36" spans="1:11" x14ac:dyDescent="0.2">
      <c r="A36" s="83"/>
      <c r="B36" s="84"/>
      <c r="C36" s="84"/>
      <c r="D36" s="84"/>
      <c r="E36" s="84"/>
      <c r="F36" s="84"/>
      <c r="G36" s="84"/>
      <c r="H36" s="84"/>
      <c r="I36" s="84"/>
      <c r="J36" s="84"/>
      <c r="K36" s="85"/>
    </row>
    <row r="40" spans="1:11" ht="21" x14ac:dyDescent="0.2">
      <c r="B40" s="235" t="s">
        <v>39</v>
      </c>
      <c r="C40" s="236"/>
      <c r="D40" s="236"/>
      <c r="E40" s="236"/>
      <c r="F40" s="236"/>
      <c r="G40" s="236"/>
      <c r="H40" s="236"/>
      <c r="I40" s="236"/>
      <c r="J40" s="236"/>
    </row>
    <row r="41" spans="1:11" ht="13.35" customHeight="1" thickBot="1" x14ac:dyDescent="0.25">
      <c r="B41" s="86"/>
      <c r="C41" s="87"/>
      <c r="D41" s="87"/>
      <c r="E41" s="87"/>
      <c r="F41" s="87"/>
      <c r="G41" s="87"/>
      <c r="H41" s="87"/>
      <c r="I41" s="87"/>
      <c r="J41" s="87"/>
    </row>
    <row r="42" spans="1:11" ht="38.25" customHeight="1" thickBot="1" x14ac:dyDescent="0.25">
      <c r="B42" s="237" t="s">
        <v>40</v>
      </c>
      <c r="C42" s="52" t="s">
        <v>41</v>
      </c>
      <c r="D42" s="53">
        <v>254</v>
      </c>
      <c r="F42" s="240" t="s">
        <v>42</v>
      </c>
      <c r="G42" s="242" t="s">
        <v>43</v>
      </c>
      <c r="H42" s="243"/>
      <c r="I42" s="243"/>
      <c r="J42" s="244"/>
    </row>
    <row r="43" spans="1:11" ht="19.5" customHeight="1" x14ac:dyDescent="0.2">
      <c r="B43" s="238"/>
      <c r="C43" s="55" t="s">
        <v>44</v>
      </c>
      <c r="D43" s="56">
        <v>203</v>
      </c>
      <c r="F43" s="241"/>
      <c r="G43" s="245" t="s">
        <v>45</v>
      </c>
      <c r="H43" s="246"/>
      <c r="I43" s="247"/>
      <c r="J43" s="53">
        <v>265</v>
      </c>
    </row>
    <row r="44" spans="1:11" ht="19.5" customHeight="1" thickBot="1" x14ac:dyDescent="0.25">
      <c r="B44" s="239"/>
      <c r="C44" s="57" t="s">
        <v>46</v>
      </c>
      <c r="D44" s="58">
        <v>16</v>
      </c>
      <c r="F44" s="241"/>
      <c r="G44" s="248" t="s">
        <v>47</v>
      </c>
      <c r="H44" s="249"/>
      <c r="I44" s="250"/>
      <c r="J44" s="63">
        <v>420</v>
      </c>
    </row>
    <row r="45" spans="1:11" ht="19.5" customHeight="1" x14ac:dyDescent="0.2">
      <c r="B45" s="251" t="s">
        <v>48</v>
      </c>
      <c r="C45" s="52" t="s">
        <v>49</v>
      </c>
      <c r="D45" s="53">
        <v>1050</v>
      </c>
      <c r="F45" s="241"/>
      <c r="G45" s="248" t="s">
        <v>50</v>
      </c>
      <c r="H45" s="249"/>
      <c r="I45" s="250"/>
      <c r="J45" s="56">
        <v>580</v>
      </c>
    </row>
    <row r="46" spans="1:11" ht="19.5" customHeight="1" thickBot="1" x14ac:dyDescent="0.25">
      <c r="B46" s="252"/>
      <c r="C46" s="57" t="s">
        <v>51</v>
      </c>
      <c r="D46" s="58">
        <v>70</v>
      </c>
      <c r="F46" s="241"/>
      <c r="G46" s="253" t="s">
        <v>52</v>
      </c>
      <c r="H46" s="254"/>
      <c r="I46" s="255"/>
      <c r="J46" s="58">
        <v>685</v>
      </c>
    </row>
    <row r="47" spans="1:11" ht="18.75" thickBot="1" x14ac:dyDescent="0.25">
      <c r="B47" s="108" t="s">
        <v>53</v>
      </c>
      <c r="C47" s="109" t="s">
        <v>54</v>
      </c>
      <c r="D47" s="90">
        <v>550</v>
      </c>
    </row>
    <row r="48" spans="1:11" ht="17.850000000000001" customHeight="1" thickBot="1" x14ac:dyDescent="0.25">
      <c r="F48" s="229" t="s">
        <v>55</v>
      </c>
      <c r="G48" s="88" t="s">
        <v>56</v>
      </c>
      <c r="H48" s="112"/>
      <c r="I48" s="231" t="s">
        <v>57</v>
      </c>
      <c r="J48" s="232"/>
      <c r="K48" s="110"/>
    </row>
    <row r="49" spans="2:11" ht="38.25" customHeight="1" thickBot="1" x14ac:dyDescent="0.25">
      <c r="B49" s="89" t="s">
        <v>36</v>
      </c>
      <c r="C49" s="109" t="s">
        <v>58</v>
      </c>
      <c r="D49" s="90">
        <v>600</v>
      </c>
      <c r="F49" s="230"/>
      <c r="G49" s="114" t="s">
        <v>59</v>
      </c>
      <c r="H49" s="113"/>
      <c r="I49" s="233"/>
      <c r="J49" s="234"/>
      <c r="K49" s="110"/>
    </row>
    <row r="50" spans="2:11" ht="16.5" customHeight="1" x14ac:dyDescent="0.2">
      <c r="J50" s="111"/>
    </row>
    <row r="53" spans="2:11" ht="15" customHeight="1" x14ac:dyDescent="0.2"/>
  </sheetData>
  <sheetProtection algorithmName="SHA-512" hashValue="qNltN+R8QKX3CAvSVkbqMqJvo1GGimqAyf1bmh9LoWPEog75urKirthmooNZ1eEmuDWDaiYWBEa6e/pNTUkhYQ==" saltValue="XVjeqU9xrDxR/dl8KJHNBg==" spinCount="100000" sheet="1" objects="1" scenarios="1"/>
  <mergeCells count="39">
    <mergeCell ref="F48:F49"/>
    <mergeCell ref="I48:J49"/>
    <mergeCell ref="B40:J40"/>
    <mergeCell ref="B42:B44"/>
    <mergeCell ref="F42:F46"/>
    <mergeCell ref="G42:J42"/>
    <mergeCell ref="G43:I43"/>
    <mergeCell ref="G44:I44"/>
    <mergeCell ref="B45:B46"/>
    <mergeCell ref="G45:I45"/>
    <mergeCell ref="G46:I46"/>
    <mergeCell ref="B32:D32"/>
    <mergeCell ref="F32:J32"/>
    <mergeCell ref="B33:B34"/>
    <mergeCell ref="D33:D34"/>
    <mergeCell ref="F33:I34"/>
    <mergeCell ref="J33:J34"/>
    <mergeCell ref="B21:D21"/>
    <mergeCell ref="F21:J21"/>
    <mergeCell ref="B22:B24"/>
    <mergeCell ref="B27:B30"/>
    <mergeCell ref="F27:J28"/>
    <mergeCell ref="B25:B26"/>
    <mergeCell ref="C25:C26"/>
    <mergeCell ref="D25:D26"/>
    <mergeCell ref="G26:J26"/>
    <mergeCell ref="C2:H2"/>
    <mergeCell ref="B6:J6"/>
    <mergeCell ref="B9:J9"/>
    <mergeCell ref="B10:F10"/>
    <mergeCell ref="C11:F11"/>
    <mergeCell ref="B19:F19"/>
    <mergeCell ref="B12:B17"/>
    <mergeCell ref="C12:F12"/>
    <mergeCell ref="C13:F13"/>
    <mergeCell ref="C14:F14"/>
    <mergeCell ref="C15:F15"/>
    <mergeCell ref="C16:F16"/>
    <mergeCell ref="C17:F17"/>
  </mergeCells>
  <pageMargins left="0.7" right="0.7" top="0.75" bottom="0.75" header="0.3" footer="0.3"/>
  <pageSetup paperSize="9" scale="44" orientation="portrait" r:id="rId1"/>
  <headerFooter>
    <oddFooter>&amp;L_x000D_&amp;1#&amp;"Calibri"&amp;10&amp;K000000 Sensitivity: C2 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B7D92-97A3-C544-B0C7-5A7ED394272E}">
  <sheetPr codeName="Sheet2">
    <tabColor rgb="FF4472C5"/>
    <pageSetUpPr fitToPage="1"/>
  </sheetPr>
  <dimension ref="B4:CL45"/>
  <sheetViews>
    <sheetView showGridLines="0" tabSelected="1" topLeftCell="A8" zoomScaleNormal="100" workbookViewId="0">
      <selection activeCell="D54" sqref="D54"/>
    </sheetView>
  </sheetViews>
  <sheetFormatPr defaultColWidth="10.625" defaultRowHeight="15" x14ac:dyDescent="0.2"/>
  <cols>
    <col min="1" max="1" width="0.671875" customWidth="1"/>
    <col min="2" max="2" width="29.99609375" customWidth="1"/>
    <col min="3" max="4" width="1.74609375" customWidth="1"/>
    <col min="5" max="5" width="22.8671875" customWidth="1"/>
    <col min="6" max="6" width="1.61328125" customWidth="1"/>
    <col min="7" max="7" width="48.0234375" customWidth="1"/>
    <col min="8" max="8" width="2.6875" customWidth="1"/>
    <col min="9" max="9" width="22.59765625" customWidth="1"/>
    <col min="10" max="11" width="1.61328125" customWidth="1"/>
    <col min="12" max="12" width="7.53125" customWidth="1"/>
    <col min="13" max="13" width="1.61328125" customWidth="1"/>
    <col min="14" max="14" width="6.859375" customWidth="1"/>
    <col min="15" max="15" width="1.61328125" customWidth="1"/>
    <col min="16" max="16" width="11.8359375" customWidth="1"/>
    <col min="17" max="17" width="2.015625" customWidth="1"/>
    <col min="19" max="19" width="3.2265625" customWidth="1"/>
    <col min="20" max="20" width="9.953125" customWidth="1"/>
    <col min="21" max="21" width="1.4765625" customWidth="1"/>
    <col min="22" max="22" width="8.875" customWidth="1"/>
    <col min="23" max="23" width="1.61328125" customWidth="1"/>
    <col min="24" max="24" width="34.30078125" customWidth="1"/>
    <col min="25" max="25" width="1.61328125" customWidth="1"/>
    <col min="26" max="26" width="7.26171875" customWidth="1"/>
    <col min="27" max="27" width="3.2265625" customWidth="1"/>
    <col min="28" max="28" width="19.7734375" bestFit="1" customWidth="1"/>
    <col min="29" max="29" width="1.61328125" customWidth="1"/>
    <col min="30" max="30" width="7.26171875" customWidth="1"/>
    <col min="31" max="31" width="3.359375" customWidth="1"/>
    <col min="32" max="32" width="11.703125" customWidth="1"/>
    <col min="33" max="33" width="1.61328125" customWidth="1"/>
    <col min="34" max="34" width="11.703125" customWidth="1"/>
    <col min="35" max="35" width="1.61328125" customWidth="1"/>
    <col min="36" max="36" width="11.703125" customWidth="1"/>
    <col min="37" max="37" width="1.61328125" customWidth="1"/>
    <col min="38" max="38" width="11.703125" customWidth="1"/>
    <col min="39" max="39" width="1.61328125" customWidth="1"/>
    <col min="40" max="40" width="11.703125" customWidth="1"/>
    <col min="41" max="41" width="1.61328125" customWidth="1"/>
    <col min="42" max="42" width="9.14453125" customWidth="1"/>
    <col min="43" max="43" width="3.2265625" customWidth="1"/>
    <col min="44" max="44" width="19.37109375" customWidth="1"/>
    <col min="45" max="45" width="1.61328125" customWidth="1"/>
    <col min="46" max="46" width="7.53125" customWidth="1"/>
    <col min="47" max="47" width="3.2265625" customWidth="1"/>
    <col min="48" max="48" width="17.21875" customWidth="1"/>
    <col min="49" max="49" width="1.61328125" customWidth="1"/>
    <col min="50" max="50" width="7.53125" customWidth="1"/>
    <col min="51" max="51" width="3.359375" customWidth="1"/>
    <col min="52" max="52" width="10.76171875" customWidth="1"/>
    <col min="53" max="53" width="10.625" customWidth="1"/>
    <col min="54" max="54" width="10.76171875" hidden="1" customWidth="1"/>
    <col min="55" max="55" width="1.61328125" hidden="1" customWidth="1"/>
    <col min="56" max="56" width="24.75" hidden="1" customWidth="1"/>
    <col min="57" max="57" width="1.61328125" hidden="1" customWidth="1"/>
    <col min="58" max="58" width="14.66015625" hidden="1" customWidth="1"/>
    <col min="59" max="59" width="15.33203125" hidden="1" customWidth="1"/>
    <col min="60" max="60" width="14.66015625" hidden="1" customWidth="1"/>
    <col min="61" max="61" width="1.61328125" hidden="1" customWidth="1"/>
    <col min="62" max="62" width="27.7109375" hidden="1" customWidth="1"/>
    <col min="63" max="63" width="1.61328125" hidden="1" customWidth="1"/>
    <col min="64" max="64" width="23.67578125" hidden="1" customWidth="1"/>
    <col min="65" max="65" width="1.61328125" hidden="1" customWidth="1"/>
    <col min="66" max="66" width="19.7734375" hidden="1" customWidth="1"/>
    <col min="67" max="67" width="1.61328125" hidden="1" customWidth="1"/>
    <col min="68" max="68" width="14.390625" hidden="1" customWidth="1"/>
    <col min="69" max="69" width="0.8046875" hidden="1" customWidth="1"/>
    <col min="70" max="70" width="16.0078125" hidden="1" customWidth="1"/>
    <col min="71" max="71" width="0.94140625" hidden="1" customWidth="1"/>
    <col min="72" max="72" width="13.98828125" hidden="1" customWidth="1"/>
    <col min="73" max="73" width="0.8046875" hidden="1" customWidth="1"/>
    <col min="74" max="74" width="16.0078125" hidden="1" customWidth="1"/>
    <col min="75" max="75" width="0.94140625" hidden="1" customWidth="1"/>
    <col min="76" max="76" width="16.0078125" hidden="1" customWidth="1"/>
    <col min="77" max="77" width="0.8046875" hidden="1" customWidth="1"/>
    <col min="78" max="78" width="18.0234375" hidden="1" customWidth="1"/>
    <col min="79" max="79" width="0.94140625" hidden="1" customWidth="1"/>
    <col min="80" max="80" width="13.98828125" hidden="1" customWidth="1"/>
    <col min="81" max="81" width="0.8046875" hidden="1" customWidth="1"/>
    <col min="82" max="82" width="16.0078125" hidden="1" customWidth="1"/>
    <col min="83" max="83" width="0.94140625" hidden="1" customWidth="1"/>
    <col min="84" max="84" width="16.54296875" hidden="1" customWidth="1"/>
    <col min="85" max="85" width="0.8046875" hidden="1" customWidth="1"/>
    <col min="86" max="86" width="18.5625" hidden="1" customWidth="1"/>
    <col min="87" max="87" width="0.94140625" hidden="1" customWidth="1"/>
    <col min="88" max="88" width="13.44921875" hidden="1" customWidth="1"/>
    <col min="89" max="89" width="0.8046875" hidden="1" customWidth="1"/>
    <col min="90" max="90" width="15.46875" hidden="1" customWidth="1"/>
    <col min="91" max="91" width="10.625" customWidth="1"/>
  </cols>
  <sheetData>
    <row r="4" spans="2:90" x14ac:dyDescent="0.2">
      <c r="B4" s="8" t="s">
        <v>309</v>
      </c>
    </row>
    <row r="6" spans="2:90" ht="33" x14ac:dyDescent="0.4">
      <c r="E6" s="125" t="s">
        <v>60</v>
      </c>
    </row>
    <row r="7" spans="2:90" ht="17.25" x14ac:dyDescent="0.25">
      <c r="E7" s="173" t="s">
        <v>61</v>
      </c>
    </row>
    <row r="8" spans="2:90" ht="16.5" x14ac:dyDescent="0.25">
      <c r="E8" s="131" t="s">
        <v>62</v>
      </c>
      <c r="G8" s="174" t="s">
        <v>455</v>
      </c>
    </row>
    <row r="9" spans="2:90" ht="15.75" thickBot="1" x14ac:dyDescent="0.25">
      <c r="E9" s="131"/>
    </row>
    <row r="10" spans="2:90" ht="19.5" thickBot="1" x14ac:dyDescent="0.3">
      <c r="E10" s="150" t="s">
        <v>63</v>
      </c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2"/>
      <c r="S10" s="127"/>
      <c r="T10" s="153"/>
      <c r="U10" s="154"/>
      <c r="V10" s="151" t="s">
        <v>64</v>
      </c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5"/>
    </row>
    <row r="11" spans="2:90" ht="54.75" x14ac:dyDescent="0.2">
      <c r="E11" s="8" t="s">
        <v>65</v>
      </c>
      <c r="F11" s="8"/>
      <c r="G11" s="8" t="s">
        <v>66</v>
      </c>
      <c r="H11" s="8"/>
      <c r="I11" s="143" t="s">
        <v>458</v>
      </c>
      <c r="J11" s="121"/>
      <c r="L11" s="143" t="s">
        <v>67</v>
      </c>
      <c r="M11" s="143"/>
      <c r="N11" s="143" t="s">
        <v>68</v>
      </c>
      <c r="O11" s="8"/>
      <c r="P11" s="143" t="s">
        <v>69</v>
      </c>
      <c r="Q11" s="8"/>
      <c r="R11" s="149" t="s">
        <v>70</v>
      </c>
      <c r="T11" s="8" t="s">
        <v>36</v>
      </c>
      <c r="U11" s="8"/>
      <c r="V11" s="8"/>
      <c r="W11" s="8"/>
      <c r="X11" s="8" t="s">
        <v>71</v>
      </c>
      <c r="Y11" s="8"/>
      <c r="Z11" s="8"/>
      <c r="AA11" s="8"/>
      <c r="AB11" s="8" t="s">
        <v>72</v>
      </c>
      <c r="AC11" s="8"/>
      <c r="AD11" s="8"/>
      <c r="AE11" s="8"/>
      <c r="AF11" s="8" t="s">
        <v>73</v>
      </c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 t="s">
        <v>74</v>
      </c>
      <c r="AS11" s="8"/>
      <c r="AT11" s="8"/>
      <c r="AU11" s="8"/>
      <c r="AV11" s="8" t="s">
        <v>75</v>
      </c>
      <c r="AW11" s="8"/>
      <c r="AX11" s="8"/>
      <c r="AY11" s="8"/>
      <c r="AZ11" s="144" t="s">
        <v>76</v>
      </c>
      <c r="BG11" t="str" cm="1">
        <f t="array" aca="1" ref="BG11" ca="1">INDIRECT($B$4&amp;"_Tarif_applicable")&amp;"_"&amp;BF14</f>
        <v>TO_</v>
      </c>
    </row>
    <row r="12" spans="2:90" x14ac:dyDescent="0.2">
      <c r="I12" s="121"/>
      <c r="J12" s="121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156" t="s">
        <v>77</v>
      </c>
      <c r="AS12" s="8"/>
      <c r="AT12" s="8"/>
      <c r="AU12" s="8"/>
      <c r="AV12" s="8"/>
      <c r="AW12" s="8"/>
      <c r="AX12" s="8"/>
      <c r="AY12" s="8"/>
      <c r="AZ12" s="8"/>
      <c r="BD12" s="122" t="s">
        <v>78</v>
      </c>
      <c r="BF12" s="122" t="s">
        <v>79</v>
      </c>
      <c r="BG12" s="122" t="s">
        <v>80</v>
      </c>
      <c r="BH12" s="122" t="s">
        <v>79</v>
      </c>
      <c r="BJ12" s="124" t="s">
        <v>81</v>
      </c>
      <c r="BL12" s="124" t="s">
        <v>82</v>
      </c>
      <c r="BN12" s="124" t="s">
        <v>83</v>
      </c>
      <c r="BP12" s="124" t="s">
        <v>84</v>
      </c>
      <c r="BR12" s="124" t="s">
        <v>85</v>
      </c>
      <c r="BT12" s="124" t="s">
        <v>86</v>
      </c>
      <c r="BV12" s="124" t="s">
        <v>87</v>
      </c>
      <c r="BX12" s="124" t="s">
        <v>88</v>
      </c>
      <c r="BZ12" s="124" t="s">
        <v>89</v>
      </c>
      <c r="CB12" s="124" t="s">
        <v>90</v>
      </c>
      <c r="CD12" s="124" t="s">
        <v>91</v>
      </c>
      <c r="CF12" s="124" t="s">
        <v>92</v>
      </c>
      <c r="CH12" s="124" t="s">
        <v>93</v>
      </c>
      <c r="CJ12" s="124" t="s">
        <v>94</v>
      </c>
      <c r="CL12" s="124" t="s">
        <v>95</v>
      </c>
    </row>
    <row r="13" spans="2:90" x14ac:dyDescent="0.2">
      <c r="I13" s="121"/>
      <c r="J13" s="121"/>
      <c r="X13" s="8" t="s">
        <v>96</v>
      </c>
      <c r="Y13" s="8"/>
      <c r="Z13" s="8"/>
      <c r="AA13" s="8"/>
      <c r="AB13" s="8" t="s">
        <v>97</v>
      </c>
      <c r="AC13" s="8"/>
      <c r="AD13" s="8"/>
      <c r="AE13" s="8"/>
      <c r="AF13" s="8" t="s">
        <v>98</v>
      </c>
      <c r="AG13" s="8"/>
      <c r="AH13" s="8" t="s">
        <v>99</v>
      </c>
      <c r="AI13" s="8"/>
      <c r="AJ13" s="8" t="s">
        <v>100</v>
      </c>
      <c r="AK13" s="8"/>
      <c r="AL13" s="8" t="s">
        <v>101</v>
      </c>
      <c r="AM13" s="8"/>
      <c r="AN13" s="8" t="s">
        <v>102</v>
      </c>
      <c r="AO13" s="8"/>
      <c r="AP13" s="8"/>
      <c r="AQ13" s="8"/>
      <c r="AR13" s="8" t="s">
        <v>103</v>
      </c>
      <c r="AS13" s="8"/>
      <c r="AT13" s="8"/>
      <c r="AU13" s="8"/>
      <c r="AV13" s="8"/>
      <c r="AW13" s="8"/>
      <c r="AX13" s="8"/>
      <c r="AY13" s="8"/>
      <c r="AZ13" s="8"/>
    </row>
    <row r="14" spans="2:90" ht="16.5" x14ac:dyDescent="0.25">
      <c r="B14" s="128" t="s">
        <v>104</v>
      </c>
      <c r="E14" s="129"/>
      <c r="G14" s="129"/>
      <c r="I14" s="130"/>
      <c r="J14" s="121"/>
      <c r="L14" s="136">
        <f ca="1">IF($BD14="PremInscription", T_Droits_d_entrée,0)</f>
        <v>0</v>
      </c>
      <c r="M14" s="137"/>
      <c r="N14" s="136" cm="1">
        <f t="array" aca="1" ref="N14" ca="1">_xlfn.IFS($BD14="", 0, OR($BD14="PremInscription", $BD14="RéinscriptionAprèsDépart"), T_Frais_de_Dossier,$BD14="Réinscription",T_Frais_de_réinscription)</f>
        <v>0</v>
      </c>
      <c r="O14" s="137"/>
      <c r="P14" s="138">
        <f ca="1">SUM(L14:N14)</f>
        <v>0</v>
      </c>
      <c r="Q14" s="137"/>
      <c r="R14" s="138" cm="1">
        <f t="array" aca="1" ref="R14" ca="1">IFERROR(
    ROUNDUP(
        IF(
            AND(LEFT(BH14,2)&lt;&gt;"TO",I14&gt;=6,BD14&lt;&gt;"RéinscriptionAprèsDépart"),
                (1+T_Prime_Fidélité),1)*INDIRECT(BH14)+INDIRECT("T_Livres_"&amp;BF14),
                0
        ),
    0
)</f>
        <v>0</v>
      </c>
      <c r="S14" s="137"/>
      <c r="T14" s="139"/>
      <c r="U14" s="137"/>
      <c r="V14" s="136" cm="1">
        <f t="array" aca="1" ref="V14" ca="1">IFERROR(
    IF(
        OR($E14=FR_Lycée, $E14=EN_Lycée, $E14=DE_Lycée),
            0,
            IF(T14=INDIRECT($B$4&amp;"_Oui"), 2*T_Navette_1Sem,0)
    ),
    0
)</f>
        <v>0</v>
      </c>
      <c r="W14" s="137"/>
      <c r="X14" s="140"/>
      <c r="Y14" s="137"/>
      <c r="Z14" s="136" cm="1">
        <f t="array" aca="1" ref="Z14" ca="1">IFERROR(IF(BL14="EXT",0,INDIRECT("T_Cantine_"&amp;BF14&amp;"_"&amp;BL14)),0)</f>
        <v>0</v>
      </c>
      <c r="AB14" s="129"/>
      <c r="AD14" s="136" cm="1">
        <f t="array" aca="1" ref="AD14" ca="1">IFERROR(
    IF(
        OR($E14=FR_Maternelle, $E14=EN_Maternelle, $E14=DE_Maternelle, $E14=FR_Collège, $E14=EN_Collège, $E14=DE_Collège, $E14=FR_Lycée, $E14=EN_Lycée, $E14=DE_Lycée),
            0,
            2*INDIRECT("T_Étude_dirigée_"&amp;BN14)
    ),
    0
)</f>
        <v>0</v>
      </c>
      <c r="AF14" s="130"/>
      <c r="AH14" s="130"/>
      <c r="AJ14" s="130"/>
      <c r="AL14" s="130"/>
      <c r="AN14" s="130"/>
      <c r="AP14" s="136">
        <f>IFERROR(
    IF(
        OR($E14=FR_Collège, $E14=EN_Collège, $E14=DE_Collège, $E14=FR_Lycée, $E14=EN_Lycée, $E14=DE_Lycée),
            0,
            2*CJ14*T_Garderie_1Sem_1h00 + 2*CL14*T_Garderie_1Sem_1h15
    ),
    0
)</f>
        <v>0</v>
      </c>
      <c r="AR14" s="130"/>
      <c r="AT14" s="136">
        <f>IFERROR(
    IF(
        OR($E14=FR_Collège, $E14=EN_Collège, $E14=DE_Collège, $E14=FR_Lycée, $E14=EN_Lycée, $E14=DE_Lycée),
            0,
           2* AR14*VALUE(MID(T_HTS,SEARCH(" ", T_HTS)+1,3))+N("Extraction de la valeur min dans le tarif HTS formulé 'entre X et Y CHF'")
    ),
    0
)</f>
        <v>0</v>
      </c>
      <c r="AV14" s="129"/>
      <c r="AX14" s="136" cm="1">
        <f t="array" aca="1" ref="AX14" ca="1">IFERROR(
    IF(
        OR($E14=FR_Collège, $E14=EN_Collège, $E14=DE_Collège, $E14=FR_Lycée, $E14=EN_Lycée, $E14=DE_Lycée),
            0,
            IF(
                    AV14&lt;&gt;INDIRECT($B$4&amp;"_Oui"),
                    0,
                    2*T_Mercredis_récréatifs
            )
    ),
    0
)</f>
        <v>0</v>
      </c>
      <c r="AZ14" s="138">
        <f ca="1">SUM(P14,R14,V14,Z14,AD14,AP14,AT14,AX14)</f>
        <v>0</v>
      </c>
      <c r="BD14" s="122" t="str">
        <f ca="1">IFERROR(
    VLOOKUP(G14,INDIRECT($B$4&amp;"_Inscription_Lookup"),2,FALSE),"")</f>
        <v/>
      </c>
      <c r="BF14" s="122" t="str">
        <f ca="1">IFERROR(VLOOKUP(E14,INDIRECT($B$4&amp;"_Niveaux_Lookup"),2,FALSE),"")</f>
        <v/>
      </c>
      <c r="BG14" s="122" t="str" cm="1">
        <f t="array" aca="1" ref="BG14" ca="1">IF(E14="","",INDIRECT($B$4&amp;"_Tarif_applicable")&amp;"_"&amp;BF14)</f>
        <v/>
      </c>
      <c r="BH14" s="122" t="str" cm="1">
        <f t="array" aca="1" ref="BH14" ca="1">IFERROR(
    IF(
        LEFT(BG14,2)="TO", BG14,
        _xlfn.IFS(
            AND(LEFT(BG14,5)="TR123",INDIRECT($B$4&amp;"_Nombre_Enfants_à_scolariser")=1), "TR1_"&amp;TEXT(BF14,""),
            AND(LEFT(BG14,5)="TR123",INDIRECT($B$4&amp;"_Nombre_Enfants_à_scolariser")=2), "TR2_"&amp;TEXT(BF14,""),
            AND(LEFT(BG14,5)="TR123",INDIRECT($B$4&amp;"_Nombre_Enfants_à_scolariser")&gt;=3), "TR3_"&amp;TEXT(BF14,""),
            AND(LEFT(BG14,5)="TR456",INDIRECT($B$4&amp;"_Nombre_Enfants_à_scolariser")=1), "TR4_"&amp;TEXT(BF14,""),
            AND(LEFT(BG14,5)="TR456",INDIRECT($B$4&amp;"_Nombre_Enfants_à_scolariser")=2), "TR5_"&amp;TEXT(BF14,""),
            AND(LEFT(BG14,5)="TR456",INDIRECT($B$4&amp;"_Nombre_Enfants_à_scolariser")&gt;=3), "TR6_"&amp;TEXT(BF14,"")
        )
    ),
    ""
)</f>
        <v/>
      </c>
      <c r="BJ14" s="124" t="str" cm="1">
        <f t="array" aca="1" ref="BJ14" ca="1">IFERROR(_xlfn.IFS(
    E14=INDIRECT($B$4&amp;"_Maternelle"),($B$4&amp;"_Régime_Cantine_Maternelle"),
    E14=INDIRECT($B$4&amp;"_Élémentaire"),($B$4&amp;"_Régime_Cantine_Élémentaire"),
    E14=INDIRECT($B$4&amp;"_Collège"),($B$4&amp;"_Régime_Cantine_Collège_Lycée"),
    E14=INDIRECT($B$4&amp;"_Lycée"),($B$4&amp;"_Régime_Cantine_Collège_Lycée")
), "")</f>
        <v/>
      </c>
      <c r="BL14" s="124" t="str">
        <f ca="1">IFERROR(VLOOKUP(X14,INDIRECT($B$4&amp;"_Cantine_Lookup"),2,FALSE),"")</f>
        <v/>
      </c>
      <c r="BN14" s="124" t="str">
        <f ca="1">IFERROR(VLOOKUP(AB14,INDIRECT($B$4&amp;"_Étude_dirigée_Lookup"),2,FALSE),"")</f>
        <v/>
      </c>
      <c r="BP14" s="124">
        <f>IFERROR(VLOOKUP(AF14,Garderie_Lundi_VLOOKUP,2,FALSE),0)</f>
        <v>0</v>
      </c>
      <c r="BR14" s="124">
        <f>IFERROR(VLOOKUP(AF14,Garderie_Lundi_VLOOKUP,3,FALSE),0)</f>
        <v>0</v>
      </c>
      <c r="BT14" s="124">
        <f>IFERROR(VLOOKUP(AH14,Garderie_Mardi_VLOOKUP,2,FALSE),0)</f>
        <v>0</v>
      </c>
      <c r="BV14" s="124">
        <f>IFERROR(VLOOKUP(AH14,Garderie_Mardi_VLOOKUP,3,FALSE),0)</f>
        <v>0</v>
      </c>
      <c r="BX14" s="124">
        <f>IFERROR(VLOOKUP(AJ14,Garderie_Mercredi_VLOOKUP,2,FALSE),0)</f>
        <v>0</v>
      </c>
      <c r="BZ14" s="124">
        <f>IFERROR(VLOOKUP(AJ14,Garderie_Mercredi_VLOOKUP,3,FALSE),0)</f>
        <v>0</v>
      </c>
      <c r="CB14" s="124">
        <f>IFERROR(VLOOKUP(AL14,Garderie_Jeudi_VLOOKUP,2,FALSE),0)</f>
        <v>0</v>
      </c>
      <c r="CD14" s="124">
        <f>IFERROR(VLOOKUP(AL14,Garderie_Jeudi_VLOOKUP,3,FALSE),0)</f>
        <v>0</v>
      </c>
      <c r="CF14" s="124">
        <f>IFERROR(VLOOKUP(AN14,Garderie_Vendredi_VLOOKUP,2,FALSE),0)</f>
        <v>0</v>
      </c>
      <c r="CH14" s="124">
        <f>IFERROR(VLOOKUP(AN14,Garderie_Vendredi_VLOOKUP,3,FALSE),0)</f>
        <v>0</v>
      </c>
      <c r="CJ14" s="124">
        <f>IFERROR(SUM(BP14,BT14,BX14,CB14,CF14),0)</f>
        <v>0</v>
      </c>
      <c r="CL14" s="124">
        <f>IFERROR(SUM(BR14,BV14,BZ14,CD14,CH14),0)</f>
        <v>0</v>
      </c>
    </row>
    <row r="15" spans="2:90" x14ac:dyDescent="0.2">
      <c r="B15" s="128"/>
      <c r="I15" s="8"/>
      <c r="J15" s="121"/>
      <c r="L15" s="137"/>
      <c r="M15" s="137"/>
      <c r="N15" s="137"/>
      <c r="O15" s="137"/>
      <c r="P15" s="137"/>
      <c r="Q15" s="137"/>
      <c r="R15" s="137"/>
      <c r="S15" s="137"/>
      <c r="T15" s="259" t="str" cm="1">
        <f t="array" aca="1" ref="T15" ca="1">IFERROR(
    IF(
        AND(
           T14=INDIRECT($B$4&amp;"_Oui"),
          OR($E14=FR_Lycée,$E14=EN_Lycée,$E14=DE_Lycée)
        ),
        INDIRECT($B$4&amp;"_ERR_Non_proposé_pour_lycée"),
       ""
    ),
    ""
)</f>
        <v/>
      </c>
      <c r="U15" s="259"/>
      <c r="V15" s="259"/>
      <c r="W15" s="137"/>
      <c r="X15" s="137"/>
      <c r="Y15" s="137"/>
      <c r="Z15" s="137"/>
      <c r="AB15" s="257" t="str" cm="1">
        <f t="array" aca="1" ref="AB15" ca="1">IF(
    AND(
         AB14&gt;0,
         OR($E14=FR_Maternelle,$E14=EN_Maternelle,$E14=DE_Maternelle,$E14=FR_Collège,$E14=EN_Collège,$E14=DE_Collège,$E14=FR_Lycée,$E14=EN_Lycée,$E14=DE_Lycée)
    ),
        INDIRECT($B$4&amp;"_ERR_Seulement_pour_élémentaire"),
        ""
)</f>
        <v/>
      </c>
      <c r="AC15" s="257"/>
      <c r="AD15" s="257"/>
      <c r="AM15" s="258" t="str" cm="1">
        <f t="array" aca="1" ref="AM15" ca="1">IF(
    AND(
         OR($AF14&gt;0,$AH14&gt;0,$AJ14&gt;0,$AL14&gt;0,$AN14&gt;0),
         OR($E14=FR_Collège,$E14=EN_Collège,$E14=DE_Collège,$E14=FR_Lycée,$E14=EN_Lycée,$E14=DE_Lycée)
    ),
        INDIRECT($B$4&amp;"_ERR_Non_proposé_pour_secondaire"),
        ""
)</f>
        <v/>
      </c>
      <c r="AN15" s="258"/>
      <c r="AO15" s="258"/>
      <c r="AP15" s="258"/>
      <c r="AR15" s="257" t="str" cm="1">
        <f t="array" aca="1" ref="AR15" ca="1">IF(
    AND(
        AR14&gt;0,
        OR($E14=FR_Collège, $E14=EN_Collège, $E14=DE_Collège, $E14=FR_Lycée, $E14=EN_Lycée, $E14=DE_Lycée)
    ),
     INDIRECT($B$4&amp;"_ERR_Non_proposé_pour_secondaire"),
    ""
)</f>
        <v/>
      </c>
      <c r="AS15" s="257"/>
      <c r="AT15" s="257"/>
      <c r="AV15" s="257" t="str" cm="1">
        <f t="array" aca="1" ref="AV15" ca="1">IFERROR(
    IF(
        AND(
            AV14=INDIRECT($B$4&amp;"_Oui"),
            OR($E14=FR_Collège, $E14=EN_Collège, $E14=DE_Collège, $E14=FR_Lycée, $E14=EN_Lycée, $E14=DE_Lycée)
       ),
         INDIRECT($B$4&amp;"_ERR_Non_proposé_pour_secondaire"),
        ""
    ),
    ""
)</f>
        <v/>
      </c>
      <c r="AW15" s="257"/>
      <c r="AX15" s="257"/>
      <c r="AZ15" s="137"/>
    </row>
    <row r="16" spans="2:90" ht="16.5" x14ac:dyDescent="0.25">
      <c r="B16" s="128" t="s">
        <v>107</v>
      </c>
      <c r="E16" s="129"/>
      <c r="G16" s="129"/>
      <c r="I16" s="130"/>
      <c r="J16" s="121"/>
      <c r="L16" s="136">
        <f ca="1">IF($BD16="PremInscription", T_Droits_d_entrée,0)</f>
        <v>0</v>
      </c>
      <c r="M16" s="137"/>
      <c r="N16" s="136" cm="1">
        <f t="array" aca="1" ref="N16" ca="1">_xlfn.IFS($BD16="", 0, OR($BD16="PremInscription", $BD16="RéinscriptionAprèsDépart"), T_Frais_de_Dossier,$BD16="Réinscription",T_Frais_de_réinscription)</f>
        <v>0</v>
      </c>
      <c r="O16" s="137"/>
      <c r="P16" s="138">
        <f ca="1">SUM(L16:N16)</f>
        <v>0</v>
      </c>
      <c r="Q16" s="137"/>
      <c r="R16" s="138" cm="1">
        <f t="array" aca="1" ref="R16" ca="1">IFERROR(
    ROUNDUP(
        IF(
            AND(LEFT(BH16,2)&lt;&gt;"TO",I16&gt;=6,BD16&lt;&gt;"RéinscriptionAprèsDépart"),
                (1+T_Prime_Fidélité),1)*INDIRECT(BH16)+INDIRECT("T_Livres_"&amp;BF16),
                0
        ),
    0
)</f>
        <v>0</v>
      </c>
      <c r="S16" s="137"/>
      <c r="T16" s="139"/>
      <c r="U16" s="137"/>
      <c r="V16" s="136" cm="1">
        <f t="array" aca="1" ref="V16" ca="1">IFERROR(
    IF(
        OR($E16=FR_Lycée, $E16=EN_Lycée, $E16=DE_Lycée),
            0,
            IF(T16=INDIRECT($B$4&amp;"_Oui"), 2*T_Navette_1Sem,0)
    ),
    0
)</f>
        <v>0</v>
      </c>
      <c r="W16" s="137"/>
      <c r="X16" s="140"/>
      <c r="Y16" s="137"/>
      <c r="Z16" s="136" cm="1">
        <f t="array" aca="1" ref="Z16" ca="1">IFERROR(IF(BL16="EXT",0,INDIRECT("T_Cantine_"&amp;BF16&amp;"_"&amp;BL16)),0)</f>
        <v>0</v>
      </c>
      <c r="AB16" s="129"/>
      <c r="AD16" s="136" cm="1">
        <f t="array" aca="1" ref="AD16" ca="1">IFERROR(
    IF(
        OR($E16=FR_Maternelle, $E16=EN_Maternelle, $E16=DE_Maternelle, $E16=FR_Collège, $E16=EN_Collège, $E16=DE_Collège, $E16=FR_Lycée, $E16=EN_Lycée, $E16=DE_Lycée),
            0,
            2*INDIRECT("T_Étude_dirigée_"&amp;BN16)
    ),
    0
)</f>
        <v>0</v>
      </c>
      <c r="AF16" s="130"/>
      <c r="AH16" s="130"/>
      <c r="AJ16" s="130"/>
      <c r="AL16" s="130"/>
      <c r="AN16" s="130"/>
      <c r="AP16" s="136">
        <f>IFERROR(
    IF(
        OR($E16=FR_Collège, $E16=EN_Collège, $E16=DE_Collège, $E16=FR_Lycée, $E16=EN_Lycée, $E16=DE_Lycée),
            0,
            2*CJ16*T_Garderie_1Sem_1h00 + 2*CL16*T_Garderie_1Sem_1h15
    ),
    0
)</f>
        <v>0</v>
      </c>
      <c r="AR16" s="130"/>
      <c r="AT16" s="136">
        <f>IFERROR(
    IF(
        OR($E16=FR_Collège, $E16=EN_Collège, $E16=DE_Collège, $E16=FR_Lycée, $E16=EN_Lycée, $E16=DE_Lycée),
            0,
           2* AR16*VALUE(MID(T_HTS,SEARCH(" ", T_HTS)+1,3))+N("Extraction de la valeur min dans le tarif HTS formulé 'entre X et Y CHF'")
    ),
    0
)</f>
        <v>0</v>
      </c>
      <c r="AV16" s="129"/>
      <c r="AX16" s="136" cm="1">
        <f t="array" aca="1" ref="AX16" ca="1">IFERROR(
    IF(
        OR($E16=FR_Collège, $E16=EN_Collège, $E16=DE_Collège, $E16=FR_Lycée, $E16=EN_Lycée, $E16=DE_Lycée),
            0,
            IF(
                    AV16&lt;&gt;INDIRECT($B$4&amp;"_Oui"),
                    0,
                    2*T_Mercredis_récréatifs
            )
    ),
    0
)</f>
        <v>0</v>
      </c>
      <c r="AZ16" s="138">
        <f ca="1">SUM(P16,R16,V16,Z16,AD16,AP16,AT16,AX16)</f>
        <v>0</v>
      </c>
      <c r="BD16" s="122" t="str">
        <f ca="1">IFERROR(VLOOKUP(G16,INDIRECT($B$4&amp;"_Inscription_Lookup"),2,FALSE),"")</f>
        <v/>
      </c>
      <c r="BF16" s="122" t="str">
        <f ca="1">IFERROR(VLOOKUP(E16,INDIRECT($B$4&amp;"_Niveaux_Lookup"),2,FALSE),"")</f>
        <v/>
      </c>
      <c r="BG16" s="122" t="str" cm="1">
        <f t="array" aca="1" ref="BG16" ca="1">IF(E16="","",INDIRECT($B$4&amp;"_Tarif_applicable")&amp;"_"&amp;BF16)</f>
        <v/>
      </c>
      <c r="BH16" s="122" t="str" cm="1">
        <f t="array" aca="1" ref="BH16" ca="1">IFERROR(
    IF(
        LEFT(BG16,2)="TO", BG16,
        _xlfn.IFS(
            AND(LEFT(BG16,5)="TR123",INDIRECT($B$4&amp;"_Nombre_Enfants_à_scolariser")=1), "TR1_"&amp;TEXT(BF16,""),
            AND(LEFT(BG16,5)="TR123",INDIRECT($B$4&amp;"_Nombre_Enfants_à_scolariser")=2), "TR2_"&amp;TEXT(BF16,""),
            AND(LEFT(BG16,5)="TR123",INDIRECT($B$4&amp;"_Nombre_Enfants_à_scolariser")&gt;=3), "TR3_"&amp;TEXT(BF16,""),
            AND(LEFT(BG16,5)="TR456",INDIRECT($B$4&amp;"_Nombre_Enfants_à_scolariser")=1), "TR4_"&amp;TEXT(BF16,""),
            AND(LEFT(BG16,5)="TR456",INDIRECT($B$4&amp;"_Nombre_Enfants_à_scolariser")=2), "TR5_"&amp;TEXT(BF16,""),
            AND(LEFT(BG16,5)="TR456",INDIRECT($B$4&amp;"_Nombre_Enfants_à_scolariser")&gt;=3), "TR6_"&amp;TEXT(BF16,"")
        )
    ),
    ""
)</f>
        <v/>
      </c>
      <c r="BJ16" s="124" t="str" cm="1">
        <f t="array" aca="1" ref="BJ16" ca="1">IFERROR(_xlfn.IFS(
    E16=INDIRECT($B$4&amp;"_Maternelle"),($B$4&amp;"_Régime_Cantine_Maternelle"),
    E16=INDIRECT($B$4&amp;"_Élémentaire"),($B$4&amp;"_Régime_Cantine_Élémentaire"),
    E16=INDIRECT($B$4&amp;"_Collège"),($B$4&amp;"_Régime_Cantine_Collège_Lycée"),
    E16=INDIRECT($B$4&amp;"_Lycée"),($B$4&amp;"_Régime_Cantine_Collège_Lycée")
), "")</f>
        <v/>
      </c>
      <c r="BL16" s="124" t="str">
        <f ca="1">IFERROR(VLOOKUP(X16,INDIRECT($B$4&amp;"_Cantine_Lookup"),2,FALSE),"")</f>
        <v/>
      </c>
      <c r="BN16" s="124" t="str">
        <f ca="1">IFERROR(VLOOKUP(AB16,INDIRECT($B$4&amp;"_Étude_dirigée_Lookup"),2,FALSE),"")</f>
        <v/>
      </c>
      <c r="BP16" s="124">
        <f>IFERROR(VLOOKUP(AF16,Garderie_Lundi_VLOOKUP,2,FALSE),0)</f>
        <v>0</v>
      </c>
      <c r="BR16" s="124">
        <f>IFERROR(VLOOKUP(AF16,Garderie_Lundi_VLOOKUP,3,FALSE),0)</f>
        <v>0</v>
      </c>
      <c r="BT16" s="124">
        <f>IFERROR(VLOOKUP(AH16,Garderie_Mardi_VLOOKUP,2,FALSE),0)</f>
        <v>0</v>
      </c>
      <c r="BV16" s="124">
        <f>IFERROR(VLOOKUP(AH16,Garderie_Mardi_VLOOKUP,3,FALSE),0)</f>
        <v>0</v>
      </c>
      <c r="BX16" s="124">
        <f>IFERROR(VLOOKUP(AJ16,Garderie_Mercredi_VLOOKUP,2,FALSE),0)</f>
        <v>0</v>
      </c>
      <c r="BZ16" s="124">
        <f>IFERROR(VLOOKUP(AJ16,Garderie_Mercredi_VLOOKUP,3,FALSE),0)</f>
        <v>0</v>
      </c>
      <c r="CB16" s="124">
        <f>IFERROR(VLOOKUP(AL16,Garderie_Jeudi_VLOOKUP,2,FALSE),0)</f>
        <v>0</v>
      </c>
      <c r="CD16" s="124">
        <f>IFERROR(VLOOKUP(AL16,Garderie_Jeudi_VLOOKUP,3,FALSE),0)</f>
        <v>0</v>
      </c>
      <c r="CF16" s="124">
        <f>IFERROR(VLOOKUP(AN16,Garderie_Vendredi_VLOOKUP,2,FALSE),0)</f>
        <v>0</v>
      </c>
      <c r="CH16" s="124">
        <f>IFERROR(VLOOKUP(AN16,Garderie_Vendredi_VLOOKUP,3,FALSE),0)</f>
        <v>0</v>
      </c>
      <c r="CJ16" s="124">
        <f>IFERROR(SUM(BP16,BT16,BX16,CB16,CF16),0)</f>
        <v>0</v>
      </c>
      <c r="CL16" s="124">
        <f>IFERROR(SUM(BR16,BV16,BZ16,CD16,CH16),0)</f>
        <v>0</v>
      </c>
    </row>
    <row r="17" spans="2:90" x14ac:dyDescent="0.2">
      <c r="B17" s="128"/>
      <c r="I17" s="8"/>
      <c r="J17" s="121"/>
      <c r="L17" s="137"/>
      <c r="M17" s="137"/>
      <c r="N17" s="137"/>
      <c r="O17" s="137"/>
      <c r="P17" s="137"/>
      <c r="Q17" s="137"/>
      <c r="R17" s="137"/>
      <c r="S17" s="137"/>
      <c r="T17" s="259" t="str" cm="1">
        <f t="array" aca="1" ref="T17" ca="1">IFERROR(
    IF(
        AND(
           T16=INDIRECT($B$4&amp;"_Oui"),
          OR($E16=FR_Lycée,$E16=EN_Lycée,$E16=DE_Lycée)
        ),
        INDIRECT($B$4&amp;"_ERR_Non_proposé_pour_lycée"),
       ""
    ),
    ""
)</f>
        <v/>
      </c>
      <c r="U17" s="259"/>
      <c r="V17" s="259"/>
      <c r="W17" s="137"/>
      <c r="X17" s="137"/>
      <c r="Y17" s="137"/>
      <c r="Z17" s="137"/>
      <c r="AB17" s="257" t="str" cm="1">
        <f t="array" aca="1" ref="AB17" ca="1">IF(
    AND(
         AB16&gt;0,
         OR($E16=FR_Maternelle,$E16=EN_Maternelle,$E16=DE_Maternelle,$E16=FR_Collège,$E16=EN_Collège,$E16=DE_Collège,$E16=FR_Lycée,$E16=EN_Lycée,$E16=DE_Lycée)
    ),
        INDIRECT($B$4&amp;"_ERR_Seulement_pour_élémentaire"),
        ""
)</f>
        <v/>
      </c>
      <c r="AC17" s="257"/>
      <c r="AD17" s="257"/>
      <c r="AM17" s="258" t="str" cm="1">
        <f t="array" aca="1" ref="AM17" ca="1">IF(
    AND(
         OR($AF16&gt;0,$AH16&gt;0,$AJ16&gt;0,$AL16&gt;0,$AN16&gt;0),
         OR($E16=FR_Collège,$E16=EN_Collège,$E16=DE_Collège,$E16=FR_Lycée,$E16=EN_Lycée,$E16=DE_Lycée)
    ),
        INDIRECT($B$4&amp;"_ERR_Non_proposé_pour_secondaire"),
        ""
)</f>
        <v/>
      </c>
      <c r="AN17" s="258"/>
      <c r="AO17" s="258"/>
      <c r="AP17" s="258"/>
      <c r="AR17" s="257" t="str" cm="1">
        <f t="array" aca="1" ref="AR17" ca="1">IF(
    AND(
        AR16&gt;0,
        OR($E16=FR_Collège, $E16=EN_Collège, $E16=DE_Collège, $E16=FR_Lycée, $E16=EN_Lycée, $E16=DE_Lycée)
    ),
     INDIRECT($B$4&amp;"_ERR_Non_proposé_pour_secondaire"),
    ""
)</f>
        <v/>
      </c>
      <c r="AS17" s="257"/>
      <c r="AT17" s="257"/>
      <c r="AV17" s="257" t="str" cm="1">
        <f t="array" aca="1" ref="AV17" ca="1">IFERROR(
    IF(
        AND(
            AV16=INDIRECT($B$4&amp;"_Oui"),
            OR($E16=FR_Collège, $E16=EN_Collège, $E16=DE_Collège, $E16=FR_Lycée, $E16=EN_Lycée, $E16=DE_Lycée)
       ),
         INDIRECT($B$4&amp;"_ERR_Non_proposé_pour_secondaire"),
        ""
    ),
    ""
)</f>
        <v/>
      </c>
      <c r="AW17" s="257"/>
      <c r="AX17" s="257"/>
      <c r="AZ17" s="137"/>
    </row>
    <row r="18" spans="2:90" ht="16.5" x14ac:dyDescent="0.25">
      <c r="B18" s="128" t="s">
        <v>108</v>
      </c>
      <c r="E18" s="129"/>
      <c r="G18" s="129"/>
      <c r="I18" s="130"/>
      <c r="J18" s="121"/>
      <c r="L18" s="136">
        <f ca="1">IF($BD18="PremInscription", T_Droits_d_entrée,0)</f>
        <v>0</v>
      </c>
      <c r="M18" s="137"/>
      <c r="N18" s="136" cm="1">
        <f t="array" aca="1" ref="N18" ca="1">_xlfn.IFS($BD18="", 0, OR($BD18="PremInscription", $BD18="RéinscriptionAprèsDépart"), T_Frais_de_Dossier,$BD18="Réinscription",T_Frais_de_réinscription)</f>
        <v>0</v>
      </c>
      <c r="O18" s="137"/>
      <c r="P18" s="138">
        <f ca="1">SUM(L18:N18)</f>
        <v>0</v>
      </c>
      <c r="Q18" s="137"/>
      <c r="R18" s="138" cm="1">
        <f t="array" aca="1" ref="R18" ca="1">IFERROR(
    ROUNDUP(
        IF(
            AND(LEFT(BH18,2)&lt;&gt;"TO",I18&gt;=6,BD18&lt;&gt;"RéinscriptionAprèsDépart"),
                (1+T_Prime_Fidélité),1)*INDIRECT(BH18)+INDIRECT("T_Livres_"&amp;BF18),
                0
        ),
    0
)</f>
        <v>0</v>
      </c>
      <c r="S18" s="137"/>
      <c r="T18" s="139"/>
      <c r="U18" s="137"/>
      <c r="V18" s="136" cm="1">
        <f t="array" aca="1" ref="V18" ca="1">IFERROR(
    IF(
        OR($E18=FR_Lycée, $E18=EN_Lycée, $E18=DE_Lycée),
            0,
            IF(T18=INDIRECT($B$4&amp;"_Oui"), 2*T_Navette_1Sem,0)
    ),
    0
)</f>
        <v>0</v>
      </c>
      <c r="W18" s="137"/>
      <c r="X18" s="140"/>
      <c r="Y18" s="137"/>
      <c r="Z18" s="136" cm="1">
        <f t="array" aca="1" ref="Z18" ca="1">IFERROR(IF(BL18="EXT",0,INDIRECT("T_Cantine_"&amp;BF18&amp;"_"&amp;BL18)),0)</f>
        <v>0</v>
      </c>
      <c r="AB18" s="129"/>
      <c r="AD18" s="136" cm="1">
        <f t="array" aca="1" ref="AD18" ca="1">IFERROR(
    IF(
        OR($E18=FR_Maternelle, $E18=EN_Maternelle, $E18=DE_Maternelle, $E18=FR_Collège, $E18=EN_Collège, $E18=DE_Collège, $E18=FR_Lycée, $E18=EN_Lycée, $E18=DE_Lycée),
            0,
            2*INDIRECT("T_Étude_dirigée_"&amp;BN18)
    ),
    0
)</f>
        <v>0</v>
      </c>
      <c r="AF18" s="130"/>
      <c r="AH18" s="130"/>
      <c r="AJ18" s="130"/>
      <c r="AL18" s="130"/>
      <c r="AN18" s="130"/>
      <c r="AP18" s="136">
        <f>IFERROR(
    IF(
        OR($E18=FR_Collège, $E18=EN_Collège, $E18=DE_Collège, $E18=FR_Lycée, $E18=EN_Lycée, $E18=DE_Lycée),
            0,
            2*CJ18*T_Garderie_1Sem_1h00 + 2*CL18*T_Garderie_1Sem_1h15
    ),
    0
)</f>
        <v>0</v>
      </c>
      <c r="AR18" s="130"/>
      <c r="AT18" s="136">
        <f>IFERROR(
    IF(
        OR($E18=FR_Collège, $E18=EN_Collège, $E18=DE_Collège, $E18=FR_Lycée, $E18=EN_Lycée, $E18=DE_Lycée),
            0,
           2* AR18*VALUE(MID(T_HTS,SEARCH(" ", T_HTS)+1,3))+N("Extraction de la valeur min dans le tarif HTS formulé 'entre X et Y CHF'")
    ),
    0
)</f>
        <v>0</v>
      </c>
      <c r="AV18" s="129"/>
      <c r="AX18" s="136" cm="1">
        <f t="array" aca="1" ref="AX18" ca="1">IFERROR(
    IF(
        OR($E18=FR_Collège, $E18=EN_Collège, $E18=DE_Collège, $E18=FR_Lycée, $E18=EN_Lycée, $E18=DE_Lycée),
            0,
            IF(
                    AV18&lt;&gt;INDIRECT($B$4&amp;"_Oui"),
                    0,
                    2*T_Mercredis_récréatifs
            )
    ),
    0
)</f>
        <v>0</v>
      </c>
      <c r="AZ18" s="138">
        <f ca="1">SUM(P18,R18,V18,Z18,AD18,AP18,AT18,AX18)</f>
        <v>0</v>
      </c>
      <c r="BD18" s="122" t="str">
        <f ca="1">IFERROR(VLOOKUP(G18,INDIRECT($B$4&amp;"_Inscription_Lookup"),2,FALSE),"")</f>
        <v/>
      </c>
      <c r="BF18" s="122" t="str">
        <f ca="1">IFERROR(VLOOKUP(E18,INDIRECT($B$4&amp;"_Niveaux_Lookup"),2,FALSE),"")</f>
        <v/>
      </c>
      <c r="BG18" s="122" t="str" cm="1">
        <f t="array" aca="1" ref="BG18" ca="1">IF(E18="","",INDIRECT($B$4&amp;"_Tarif_applicable")&amp;"_"&amp;BF18)</f>
        <v/>
      </c>
      <c r="BH18" s="122" t="str" cm="1">
        <f t="array" aca="1" ref="BH18" ca="1">IFERROR(
    IF(
        LEFT(BG18,2)="TO", BG18,
        _xlfn.IFS(
            AND(LEFT(BG18,5)="TR123",INDIRECT($B$4&amp;"_Nombre_Enfants_à_scolariser")=1), "TR1_"&amp;TEXT(BF18,""),
            AND(LEFT(BG18,5)="TR123",INDIRECT($B$4&amp;"_Nombre_Enfants_à_scolariser")=2), "TR2_"&amp;TEXT(BF18,""),
            AND(LEFT(BG18,5)="TR123",INDIRECT($B$4&amp;"_Nombre_Enfants_à_scolariser")&gt;=3), "TR3_"&amp;TEXT(BF18,""),
            AND(LEFT(BG18,5)="TR456",INDIRECT($B$4&amp;"_Nombre_Enfants_à_scolariser")=1), "TR4_"&amp;TEXT(BF18,""),
            AND(LEFT(BG18,5)="TR456",INDIRECT($B$4&amp;"_Nombre_Enfants_à_scolariser")=2), "TR5_"&amp;TEXT(BF18,""),
            AND(LEFT(BG18,5)="TR456",INDIRECT($B$4&amp;"_Nombre_Enfants_à_scolariser")&gt;=3), "TR6_"&amp;TEXT(BF18,"")
        )
    ),
    ""
)</f>
        <v/>
      </c>
      <c r="BJ18" s="124" t="str" cm="1">
        <f t="array" aca="1" ref="BJ18" ca="1">IFERROR(_xlfn.IFS(
    E18=INDIRECT($B$4&amp;"_Maternelle"),($B$4&amp;"_Régime_Cantine_Maternelle"),
    E18=INDIRECT($B$4&amp;"_Élémentaire"),($B$4&amp;"_Régime_Cantine_Élémentaire"),
    E18=INDIRECT($B$4&amp;"_Collège"),($B$4&amp;"_Régime_Cantine_Collège_Lycée"),
    E18=INDIRECT($B$4&amp;"_Lycée"),($B$4&amp;"_Régime_Cantine_Collège_Lycée")
), "")</f>
        <v/>
      </c>
      <c r="BL18" s="124" t="str">
        <f ca="1">IFERROR(VLOOKUP(X18,INDIRECT($B$4&amp;"_Cantine_Lookup"),2,FALSE),"")</f>
        <v/>
      </c>
      <c r="BN18" s="124" t="str">
        <f ca="1">IFERROR(VLOOKUP(AB18,INDIRECT($B$4&amp;"_Étude_dirigée_Lookup"),2,FALSE),"")</f>
        <v/>
      </c>
      <c r="BP18" s="124">
        <f>IFERROR(VLOOKUP(AF18,Garderie_Lundi_VLOOKUP,2,FALSE),0)</f>
        <v>0</v>
      </c>
      <c r="BR18" s="124">
        <f>IFERROR(VLOOKUP(AF18,Garderie_Lundi_VLOOKUP,3,FALSE),0)</f>
        <v>0</v>
      </c>
      <c r="BT18" s="124">
        <f>IFERROR(VLOOKUP(AH18,Garderie_Mardi_VLOOKUP,2,FALSE),0)</f>
        <v>0</v>
      </c>
      <c r="BV18" s="124">
        <f>IFERROR(VLOOKUP(AH18,Garderie_Mardi_VLOOKUP,3,FALSE),0)</f>
        <v>0</v>
      </c>
      <c r="BX18" s="124">
        <f>IFERROR(VLOOKUP(AJ18,Garderie_Mercredi_VLOOKUP,2,FALSE),0)</f>
        <v>0</v>
      </c>
      <c r="BZ18" s="124">
        <f>IFERROR(VLOOKUP(AJ18,Garderie_Mercredi_VLOOKUP,3,FALSE),0)</f>
        <v>0</v>
      </c>
      <c r="CB18" s="124">
        <f>IFERROR(VLOOKUP(AL18,Garderie_Jeudi_VLOOKUP,2,FALSE),0)</f>
        <v>0</v>
      </c>
      <c r="CD18" s="124">
        <f>IFERROR(VLOOKUP(AL18,Garderie_Jeudi_VLOOKUP,3,FALSE),0)</f>
        <v>0</v>
      </c>
      <c r="CF18" s="124">
        <f>IFERROR(VLOOKUP(AN18,Garderie_Vendredi_VLOOKUP,2,FALSE),0)</f>
        <v>0</v>
      </c>
      <c r="CH18" s="124">
        <f>IFERROR(VLOOKUP(AN18,Garderie_Vendredi_VLOOKUP,3,FALSE),0)</f>
        <v>0</v>
      </c>
      <c r="CJ18" s="124">
        <f>IFERROR(SUM(BP18,BT18,BX18,CB18,CF18),0)</f>
        <v>0</v>
      </c>
      <c r="CL18" s="124">
        <f>IFERROR(SUM(BR18,BV18,BZ18,CD18,CH18),0)</f>
        <v>0</v>
      </c>
    </row>
    <row r="19" spans="2:90" x14ac:dyDescent="0.2">
      <c r="B19" s="128"/>
      <c r="I19" s="8"/>
      <c r="J19" s="121"/>
      <c r="L19" s="137"/>
      <c r="M19" s="137"/>
      <c r="N19" s="137"/>
      <c r="O19" s="137"/>
      <c r="P19" s="137"/>
      <c r="Q19" s="137"/>
      <c r="R19" s="137"/>
      <c r="S19" s="137"/>
      <c r="T19" s="259" t="str" cm="1">
        <f t="array" aca="1" ref="T19" ca="1">IFERROR(
    IF(
        AND(
           T18=INDIRECT($B$4&amp;"_Oui"),
          OR($E18=FR_Lycée,$E18=EN_Lycée,$E18=DE_Lycée)
        ),
        INDIRECT($B$4&amp;"_ERR_Non_proposé_pour_lycée"),
       ""
    ),
    ""
)</f>
        <v/>
      </c>
      <c r="U19" s="259"/>
      <c r="V19" s="259"/>
      <c r="W19" s="137"/>
      <c r="X19" s="137"/>
      <c r="Y19" s="137"/>
      <c r="Z19" s="137"/>
      <c r="AB19" s="257" t="str" cm="1">
        <f t="array" aca="1" ref="AB19" ca="1">IF(
    AND(
         AB18&gt;0,
         OR($E18=FR_Maternelle,$E18=EN_Maternelle,$E18=DE_Maternelle,$E18=FR_Collège,$E18=EN_Collège,$E18=DE_Collège,$E18=FR_Lycée,$E18=EN_Lycée,$E18=DE_Lycée)
    ),
        INDIRECT($B$4&amp;"_ERR_Seulement_pour_élémentaire"),
        ""
)</f>
        <v/>
      </c>
      <c r="AC19" s="257"/>
      <c r="AD19" s="257"/>
      <c r="AM19" s="258" t="str" cm="1">
        <f t="array" aca="1" ref="AM19" ca="1">IF(
    AND(
         OR($AF18&gt;0,$AH18&gt;0,$AJ18&gt;0,$AL18&gt;0,$AN18&gt;0),
         OR($E18=FR_Collège,$E18=EN_Collège,$E18=DE_Collège,$E18=FR_Lycée,$E18=EN_Lycée,$E18=DE_Lycée)
    ),
        INDIRECT($B$4&amp;"_ERR_Non_proposé_pour_secondaire"),
        ""
)</f>
        <v/>
      </c>
      <c r="AN19" s="258"/>
      <c r="AO19" s="258"/>
      <c r="AP19" s="258"/>
      <c r="AR19" s="257" t="str" cm="1">
        <f t="array" aca="1" ref="AR19" ca="1">IF(
    AND(
        AR18&gt;0,
        OR($E18=FR_Collège, $E18=EN_Collège, $E18=DE_Collège, $E18=FR_Lycée, $E18=EN_Lycée, $E18=DE_Lycée)
    ),
     INDIRECT($B$4&amp;"_ERR_Non_proposé_pour_secondaire"),
    ""
)</f>
        <v/>
      </c>
      <c r="AS19" s="257"/>
      <c r="AT19" s="257"/>
      <c r="AV19" s="257" t="str" cm="1">
        <f t="array" aca="1" ref="AV19" ca="1">IFERROR(
    IF(
        AND(
            AV18=INDIRECT($B$4&amp;"_Oui"),
            OR($E18=FR_Collège, $E18=EN_Collège, $E18=DE_Collège, $E18=FR_Lycée, $E18=EN_Lycée, $E18=DE_Lycée)
       ),
         INDIRECT($B$4&amp;"_ERR_Non_proposé_pour_secondaire"),
        ""
    ),
    ""
)</f>
        <v/>
      </c>
      <c r="AW19" s="257"/>
      <c r="AX19" s="257"/>
      <c r="AZ19" s="137"/>
    </row>
    <row r="20" spans="2:90" ht="16.5" x14ac:dyDescent="0.25">
      <c r="B20" s="128" t="s">
        <v>109</v>
      </c>
      <c r="E20" s="129"/>
      <c r="G20" s="129"/>
      <c r="I20" s="130"/>
      <c r="J20" s="121"/>
      <c r="L20" s="136">
        <f ca="1">IF($BD20="PremInscription", T_Droits_d_entrée,0)</f>
        <v>0</v>
      </c>
      <c r="M20" s="137"/>
      <c r="N20" s="136" cm="1">
        <f t="array" aca="1" ref="N20" ca="1">_xlfn.IFS($BD20="", 0, OR($BD20="PremInscription", $BD20="RéinscriptionAprèsDépart"), T_Frais_de_Dossier,$BD20="Réinscription",T_Frais_de_réinscription)</f>
        <v>0</v>
      </c>
      <c r="O20" s="137"/>
      <c r="P20" s="138">
        <f ca="1">SUM(L20:N20)</f>
        <v>0</v>
      </c>
      <c r="Q20" s="137"/>
      <c r="R20" s="138" cm="1">
        <f t="array" aca="1" ref="R20" ca="1">IFERROR(
    ROUNDUP(
        IF(
            AND(LEFT(BH20,2)&lt;&gt;"TO",I20&gt;=6,BD20&lt;&gt;"RéinscriptionAprèsDépart"),
                (1+T_Prime_Fidélité),1)*INDIRECT(BH20)+INDIRECT("T_Livres_"&amp;BF20),
                0
        ),
    0
)</f>
        <v>0</v>
      </c>
      <c r="S20" s="137"/>
      <c r="T20" s="139"/>
      <c r="U20" s="137"/>
      <c r="V20" s="136" cm="1">
        <f t="array" aca="1" ref="V20" ca="1">IFERROR(
    IF(
        OR($E20=FR_Lycée, $E20=EN_Lycée, $E20=DE_Lycée),
            0,
            IF(T20=INDIRECT($B$4&amp;"_Oui"), 2*T_Navette_1Sem,0)
    ),
    0
)</f>
        <v>0</v>
      </c>
      <c r="W20" s="137"/>
      <c r="X20" s="172"/>
      <c r="Y20" s="137"/>
      <c r="Z20" s="136" cm="1">
        <f t="array" aca="1" ref="Z20" ca="1">IFERROR(IF(BL20="EXT",0,INDIRECT("T_Cantine_"&amp;BF20&amp;"_"&amp;BL20)),0)</f>
        <v>0</v>
      </c>
      <c r="AB20" s="129"/>
      <c r="AD20" s="136" cm="1">
        <f t="array" aca="1" ref="AD20" ca="1">IFERROR(
    IF(
        OR($E20=FR_Maternelle, $E20=EN_Maternelle, $E20=DE_Maternelle, $E20=FR_Collège, $E20=EN_Collège, $E20=DE_Collège, $E20=FR_Lycée, $E20=EN_Lycée, $E20=DE_Lycée),
            0,
            2*INDIRECT("T_Étude_dirigée_"&amp;BN20)
    ),
    0
)</f>
        <v>0</v>
      </c>
      <c r="AF20" s="130"/>
      <c r="AH20" s="130"/>
      <c r="AJ20" s="130"/>
      <c r="AL20" s="130"/>
      <c r="AN20" s="130"/>
      <c r="AP20" s="136">
        <f>IFERROR(
    IF(
        OR($E20=FR_Collège, $E20=EN_Collège, $E20=DE_Collège, $E20=FR_Lycée, $E20=EN_Lycée, $E20=DE_Lycée),
            0,
            2*CJ20*T_Garderie_1Sem_1h00 + 2*CL20*T_Garderie_1Sem_1h15
    ),
    0
)</f>
        <v>0</v>
      </c>
      <c r="AR20" s="130"/>
      <c r="AT20" s="123">
        <f>IFERROR(
    IF(
        OR($E20=FR_Collège, $E20=EN_Collège, $E20=DE_Collège, $E20=FR_Lycée, $E20=EN_Lycée, $E20=DE_Lycée),
            0,
           2* AR20*VALUE(MID(T_HTS,SEARCH(" ", T_HTS)+1,3))+N("Extraction de la valeur min dans le tarif HTS formulé 'entre X et Y CHF'")
    ),
    0
)</f>
        <v>0</v>
      </c>
      <c r="AV20" s="129"/>
      <c r="AX20" s="136" cm="1">
        <f t="array" aca="1" ref="AX20" ca="1">IFERROR(
    IF(
        OR($E20=FR_Collège, $E20=EN_Collège, $E20=DE_Collège, $E20=FR_Lycée, $E20=EN_Lycée, $E20=DE_Lycée),
            0,
            IF(
                    AV20&lt;&gt;INDIRECT($B$4&amp;"_Oui"),
                    0,
                    2*T_Mercredis_récréatifs
            )
    ),
    0
)</f>
        <v>0</v>
      </c>
      <c r="AZ20" s="138">
        <f ca="1">SUM(P20,R20,V20,Z20,AD20,AP20,AT20,AX20)</f>
        <v>0</v>
      </c>
      <c r="BD20" s="122" t="str">
        <f ca="1">IFERROR(VLOOKUP(G20,INDIRECT($B$4&amp;"_Inscription_Lookup"),2,FALSE),"")</f>
        <v/>
      </c>
      <c r="BF20" s="122" t="str">
        <f ca="1">IFERROR(VLOOKUP(E20,INDIRECT($B$4&amp;"_Niveaux_Lookup"),2,FALSE),"")</f>
        <v/>
      </c>
      <c r="BG20" s="122" t="str" cm="1">
        <f t="array" aca="1" ref="BG20" ca="1">IF(E20="","",INDIRECT($B$4&amp;"_Tarif_applicable")&amp;"_"&amp;BF20)</f>
        <v/>
      </c>
      <c r="BH20" s="122" t="str" cm="1">
        <f t="array" aca="1" ref="BH20" ca="1">IFERROR(
    IF(
        LEFT(BG20,2)="TO", BG20,
        _xlfn.IFS(
            AND(LEFT(BG20,5)="TR123",INDIRECT($B$4&amp;"_Nombre_Enfants_à_scolariser")=1), "TR1_"&amp;TEXT(BF20,""),
            AND(LEFT(BG20,5)="TR123",INDIRECT($B$4&amp;"_Nombre_Enfants_à_scolariser")=2), "TR2_"&amp;TEXT(BF20,""),
            AND(LEFT(BG20,5)="TR123",INDIRECT($B$4&amp;"_Nombre_Enfants_à_scolariser")&gt;=3), "TR3_"&amp;TEXT(BF20,""),
            AND(LEFT(BG20,5)="TR456",INDIRECT($B$4&amp;"_Nombre_Enfants_à_scolariser")=1), "TR4_"&amp;TEXT(BF20,""),
            AND(LEFT(BG20,5)="TR456",INDIRECT($B$4&amp;"_Nombre_Enfants_à_scolariser")=2), "TR5_"&amp;TEXT(BF20,""),
            AND(LEFT(BG20,5)="TR456",INDIRECT($B$4&amp;"_Nombre_Enfants_à_scolariser")&gt;=3), "TR6_"&amp;TEXT(BF20,"")
        )
    ),
    ""
)</f>
        <v/>
      </c>
      <c r="BJ20" s="124" t="str" cm="1">
        <f t="array" aca="1" ref="BJ20" ca="1">IFERROR(_xlfn.IFS(
    E20=INDIRECT($B$4&amp;"_Maternelle"),($B$4&amp;"_Régime_Cantine_Maternelle"),
    E20=INDIRECT($B$4&amp;"_Élémentaire"),($B$4&amp;"_Régime_Cantine_Élémentaire"),
    E20=INDIRECT($B$4&amp;"_Collège"),($B$4&amp;"_Régime_Cantine_Collège_Lycée"),
    E20=INDIRECT($B$4&amp;"_Lycée"),($B$4&amp;"_Régime_Cantine_Collège_Lycée")
), "")</f>
        <v/>
      </c>
      <c r="BL20" s="124" t="str">
        <f ca="1">IFERROR(VLOOKUP(X20,INDIRECT($B$4&amp;"_Cantine_Lookup"),2,FALSE),"")</f>
        <v/>
      </c>
      <c r="BN20" s="124" t="str">
        <f ca="1">IFERROR(VLOOKUP(AB20,INDIRECT($B$4&amp;"_Étude_dirigée_Lookup"),2,FALSE),"")</f>
        <v/>
      </c>
      <c r="BP20" s="124">
        <f>IFERROR(VLOOKUP(AF20,Garderie_Lundi_VLOOKUP,2,FALSE),0)</f>
        <v>0</v>
      </c>
      <c r="BR20" s="124">
        <f>IFERROR(VLOOKUP(AF20,Garderie_Lundi_VLOOKUP,3,FALSE),0)</f>
        <v>0</v>
      </c>
      <c r="BT20" s="124">
        <f>IFERROR(VLOOKUP(AH20,Garderie_Mardi_VLOOKUP,2,FALSE),0)</f>
        <v>0</v>
      </c>
      <c r="BV20" s="124">
        <f>IFERROR(VLOOKUP(AH20,Garderie_Mardi_VLOOKUP,3,FALSE),0)</f>
        <v>0</v>
      </c>
      <c r="BX20" s="124">
        <f>IFERROR(VLOOKUP(AJ20,Garderie_Mercredi_VLOOKUP,2,FALSE),0)</f>
        <v>0</v>
      </c>
      <c r="BZ20" s="124">
        <f>IFERROR(VLOOKUP(AJ20,Garderie_Mercredi_VLOOKUP,3,FALSE),0)</f>
        <v>0</v>
      </c>
      <c r="CB20" s="124">
        <f>IFERROR(VLOOKUP(AL20,Garderie_Jeudi_VLOOKUP,2,FALSE),0)</f>
        <v>0</v>
      </c>
      <c r="CD20" s="124">
        <f>IFERROR(VLOOKUP(AL20,Garderie_Jeudi_VLOOKUP,3,FALSE),0)</f>
        <v>0</v>
      </c>
      <c r="CF20" s="124">
        <f>IFERROR(VLOOKUP(AN20,Garderie_Vendredi_VLOOKUP,2,FALSE),0)</f>
        <v>0</v>
      </c>
      <c r="CH20" s="124">
        <f>IFERROR(VLOOKUP(AN20,Garderie_Vendredi_VLOOKUP,3,FALSE),0)</f>
        <v>0</v>
      </c>
      <c r="CJ20" s="124">
        <f>IFERROR(SUM(BP20,BT20,BX20,CB20,CF20),0)</f>
        <v>0</v>
      </c>
      <c r="CL20" s="124">
        <f>IFERROR(SUM(BR20,BV20,BZ20,CD20,CH20),0)</f>
        <v>0</v>
      </c>
    </row>
    <row r="21" spans="2:90" x14ac:dyDescent="0.2">
      <c r="B21" s="128"/>
      <c r="I21" s="8"/>
      <c r="J21" s="121"/>
      <c r="L21" s="137"/>
      <c r="M21" s="137"/>
      <c r="N21" s="137"/>
      <c r="O21" s="137"/>
      <c r="P21" s="137"/>
      <c r="Q21" s="137"/>
      <c r="R21" s="137"/>
      <c r="S21" s="137"/>
      <c r="T21" s="259" t="str" cm="1">
        <f t="array" aca="1" ref="T21" ca="1">IFERROR(
    IF(
        AND(
           T20=INDIRECT($B$4&amp;"_Oui"),
          OR($E20=FR_Lycée,$E20=EN_Lycée,$E20=DE_Lycée)
        ),
        INDIRECT($B$4&amp;"_ERR_Non_proposé_pour_lycée"),
       ""
    ),
    ""
)</f>
        <v/>
      </c>
      <c r="U21" s="259"/>
      <c r="V21" s="259"/>
      <c r="W21" s="137"/>
      <c r="X21" s="137"/>
      <c r="Y21" s="137"/>
      <c r="Z21" s="137"/>
      <c r="AB21" s="257" t="str" cm="1">
        <f t="array" aca="1" ref="AB21" ca="1">IF(
    AND(
         AB20&gt;0,
         OR($E20=FR_Maternelle,$E20=EN_Maternelle,$E20=DE_Maternelle,$E20=FR_Collège,$E20=EN_Collège,$E20=DE_Collège,$E20=FR_Lycée,$E20=EN_Lycée,$E20=DE_Lycée)
    ),
        INDIRECT($B$4&amp;"_ERR_Seulement_pour_élémentaire"),
        ""
)</f>
        <v/>
      </c>
      <c r="AC21" s="257"/>
      <c r="AD21" s="257"/>
      <c r="AM21" s="258" t="str" cm="1">
        <f t="array" aca="1" ref="AM21" ca="1">IF(
    AND(
         OR($AF20&gt;0,$AH20&gt;0,$AJ20&gt;0,$AL20&gt;0,$AN20&gt;0),
         OR($E20=FR_Collège,$E20=EN_Collège,$E20=DE_Collège,$E20=FR_Lycée,$E20=EN_Lycée,$E20=DE_Lycée)
    ),
        INDIRECT($B$4&amp;"_ERR_Non_proposé_pour_secondaire"),
        ""
)</f>
        <v/>
      </c>
      <c r="AN21" s="258"/>
      <c r="AO21" s="258"/>
      <c r="AP21" s="258"/>
      <c r="AR21" s="257" t="str" cm="1">
        <f t="array" aca="1" ref="AR21" ca="1">IF(
    AND(
        AR20&gt;0,
        OR($E20=FR_Collège, $E20=EN_Collège, $E20=DE_Collège, $E20=FR_Lycée, $E20=EN_Lycée, $E20=DE_Lycée)
    ),
     INDIRECT($B$4&amp;"_ERR_Non_proposé_pour_secondaire"),
    ""
)</f>
        <v/>
      </c>
      <c r="AS21" s="257"/>
      <c r="AT21" s="257"/>
      <c r="AV21" s="257" t="str" cm="1">
        <f t="array" aca="1" ref="AV21" ca="1">IFERROR(
    IF(
        AND(
            AV20=INDIRECT($B$4&amp;"_Oui"),
            OR($E20=FR_Collège, $E20=EN_Collège, $E20=DE_Collège, $E20=FR_Lycée, $E20=EN_Lycée, $E20=DE_Lycée)
       ),
         INDIRECT($B$4&amp;"_ERR_Non_proposé_pour_secondaire"),
        ""
    ),
    ""
)</f>
        <v/>
      </c>
      <c r="AW21" s="257"/>
      <c r="AX21" s="257"/>
      <c r="AZ21" s="137"/>
    </row>
    <row r="22" spans="2:90" ht="16.5" x14ac:dyDescent="0.25">
      <c r="B22" s="128" t="s">
        <v>110</v>
      </c>
      <c r="E22" s="129"/>
      <c r="G22" s="129"/>
      <c r="I22" s="130"/>
      <c r="J22" s="121"/>
      <c r="L22" s="136">
        <f ca="1">IF($BD22="PremInscription", T_Droits_d_entrée,0)</f>
        <v>0</v>
      </c>
      <c r="M22" s="137"/>
      <c r="N22" s="136" cm="1">
        <f t="array" aca="1" ref="N22" ca="1">_xlfn.IFS($BD22="", 0, OR($BD22="PremInscription", $BD22="RéinscriptionAprèsDépart"), T_Frais_de_Dossier,$BD22="Réinscription",T_Frais_de_réinscription)</f>
        <v>0</v>
      </c>
      <c r="O22" s="137"/>
      <c r="P22" s="138">
        <f ca="1">SUM(L22:N22)</f>
        <v>0</v>
      </c>
      <c r="Q22" s="137"/>
      <c r="R22" s="138" cm="1">
        <f t="array" aca="1" ref="R22" ca="1">IFERROR(
    ROUNDUP(
        IF(
            AND(LEFT(BH22,2)&lt;&gt;"TO",I22&gt;=6,BD22&lt;&gt;"RéinscriptionAprèsDépart"),
                (1+T_Prime_Fidélité),1)*INDIRECT(BH22)+INDIRECT("T_Livres_"&amp;BF22),
                0
        ),
    0
)</f>
        <v>0</v>
      </c>
      <c r="S22" s="137"/>
      <c r="T22" s="139"/>
      <c r="U22" s="137"/>
      <c r="V22" s="136" cm="1">
        <f t="array" aca="1" ref="V22" ca="1">IFERROR(
    IF(
        OR($E22=FR_Lycée, $E22=EN_Lycée, $E22=DE_Lycée),
            0,
            IF(T22=INDIRECT($B$4&amp;"_Oui"), 2*T_Navette_1Sem,0)
    ),
    0
)</f>
        <v>0</v>
      </c>
      <c r="W22" s="137"/>
      <c r="X22" s="140"/>
      <c r="Y22" s="137"/>
      <c r="Z22" s="136" cm="1">
        <f t="array" aca="1" ref="Z22" ca="1">IFERROR(IF(BL22="EXT",0,INDIRECT("T_Cantine_"&amp;BF22&amp;"_"&amp;BL22)),0)</f>
        <v>0</v>
      </c>
      <c r="AB22" s="129"/>
      <c r="AD22" s="136" cm="1">
        <f t="array" aca="1" ref="AD22" ca="1">IFERROR(
    IF(
        OR($E22=FR_Maternelle, $E22=EN_Maternelle, $E22=DE_Maternelle, $E22=FR_Collège, $E22=EN_Collège, $E22=DE_Collège, $E22=FR_Lycée, $E22=EN_Lycée, $E22=DE_Lycée),
            0,
            2*INDIRECT("T_Étude_dirigée_"&amp;BN22)
    ),
    0
)</f>
        <v>0</v>
      </c>
      <c r="AF22" s="130"/>
      <c r="AH22" s="130"/>
      <c r="AJ22" s="130"/>
      <c r="AL22" s="130"/>
      <c r="AN22" s="130"/>
      <c r="AP22" s="136">
        <f>IFERROR(
    IF(
        OR($E22=FR_Collège, $E22=EN_Collège, $E22=DE_Collège, $E22=FR_Lycée, $E22=EN_Lycée, $E22=DE_Lycée),
            0,
            2*CJ22*T_Garderie_1Sem_1h00 + 2*CL22*T_Garderie_1Sem_1h15
    ),
    0
)</f>
        <v>0</v>
      </c>
      <c r="AR22" s="130"/>
      <c r="AT22" s="136">
        <f>IFERROR(
    IF(
        OR($E22=FR_Collège, $E22=EN_Collège, $E22=DE_Collège, $E22=FR_Lycée, $E22=EN_Lycée, $E22=DE_Lycée),
            0,
           2* AR22*VALUE(MID(T_HTS,SEARCH(" ", T_HTS)+1,3))+N("Extraction de la valeur min dans le tarif HTS formulé 'entre X et Y CHF'")
    ),
    0
)</f>
        <v>0</v>
      </c>
      <c r="AV22" s="129"/>
      <c r="AX22" s="136" cm="1">
        <f t="array" aca="1" ref="AX22" ca="1">IFERROR(
    IF(
        OR($E22=FR_Collège, $E22=EN_Collège, $E22=DE_Collège, $E22=FR_Lycée, $E22=EN_Lycée, $E22=DE_Lycée),
            0,
            IF(
                    AV22&lt;&gt;INDIRECT($B$4&amp;"_Oui"),
                    0,
                    2*T_Mercredis_récréatifs
            )
    ),
    0
)</f>
        <v>0</v>
      </c>
      <c r="AZ22" s="138">
        <f ca="1">SUM(P22,R22,V22,Z22,AD22,AP22,AT22,AX22)</f>
        <v>0</v>
      </c>
      <c r="BD22" s="122" t="str">
        <f ca="1">IFERROR(VLOOKUP(G22,INDIRECT($B$4&amp;"_Inscription_Lookup"),2,FALSE),"")</f>
        <v/>
      </c>
      <c r="BF22" s="122" t="str">
        <f ca="1">IFERROR(VLOOKUP(E22,INDIRECT($B$4&amp;"_Niveaux_Lookup"),2,FALSE),"")</f>
        <v/>
      </c>
      <c r="BG22" s="122" t="str" cm="1">
        <f t="array" aca="1" ref="BG22" ca="1">IF(E22="","",INDIRECT($B$4&amp;"_Tarif_applicable")&amp;"_"&amp;BF22)</f>
        <v/>
      </c>
      <c r="BH22" s="122" t="str" cm="1">
        <f t="array" aca="1" ref="BH22" ca="1">IFERROR(
    IF(
        LEFT(BG22,2)="TO", BG22,
        _xlfn.IFS(
            AND(LEFT(BG22,5)="TR123",INDIRECT($B$4&amp;"_Nombre_Enfants_à_scolariser")=1), "TR1_"&amp;TEXT(BF22,""),
            AND(LEFT(BG22,5)="TR123",INDIRECT($B$4&amp;"_Nombre_Enfants_à_scolariser")=2), "TR2_"&amp;TEXT(BF22,""),
            AND(LEFT(BG22,5)="TR123",INDIRECT($B$4&amp;"_Nombre_Enfants_à_scolariser")&gt;=3), "TR3_"&amp;TEXT(BF22,""),
            AND(LEFT(BG22,5)="TR456",INDIRECT($B$4&amp;"_Nombre_Enfants_à_scolariser")=1), "TR4_"&amp;TEXT(BF22,""),
            AND(LEFT(BG22,5)="TR456",INDIRECT($B$4&amp;"_Nombre_Enfants_à_scolariser")=2), "TR5_"&amp;TEXT(BF22,""),
            AND(LEFT(BG22,5)="TR456",INDIRECT($B$4&amp;"_Nombre_Enfants_à_scolariser")&gt;=3), "TR6_"&amp;TEXT(BF22,"")
        )
    ),
    ""
)</f>
        <v/>
      </c>
      <c r="BJ22" s="124" t="str" cm="1">
        <f t="array" aca="1" ref="BJ22" ca="1">IFERROR(_xlfn.IFS(
    E22=INDIRECT($B$4&amp;"_Maternelle"),($B$4&amp;"_Régime_Cantine_Maternelle"),
    E22=INDIRECT($B$4&amp;"_Élémentaire"),($B$4&amp;"_Régime_Cantine_Élémentaire"),
    E22=INDIRECT($B$4&amp;"_Collège"),($B$4&amp;"_Régime_Cantine_Collège_Lycée"),
    E22=INDIRECT($B$4&amp;"_Lycée"),($B$4&amp;"_Régime_Cantine_Collège_Lycée")
), "")</f>
        <v/>
      </c>
      <c r="BL22" s="124" t="str">
        <f ca="1">IFERROR(VLOOKUP(X22,INDIRECT($B$4&amp;"_Cantine_Lookup"),2,FALSE),"")</f>
        <v/>
      </c>
      <c r="BN22" s="124" t="str">
        <f ca="1">IFERROR(VLOOKUP(AB22,INDIRECT($B$4&amp;"_Étude_dirigée_Lookup"),2,FALSE),"")</f>
        <v/>
      </c>
      <c r="BP22" s="124">
        <f>IFERROR(VLOOKUP(AF22,Garderie_Lundi_VLOOKUP,2,FALSE),0)</f>
        <v>0</v>
      </c>
      <c r="BR22" s="124">
        <f>IFERROR(VLOOKUP(AF22,Garderie_Lundi_VLOOKUP,3,FALSE),0)</f>
        <v>0</v>
      </c>
      <c r="BT22" s="124">
        <f>IFERROR(VLOOKUP(AH22,Garderie_Mardi_VLOOKUP,2,FALSE),0)</f>
        <v>0</v>
      </c>
      <c r="BV22" s="124">
        <f>IFERROR(VLOOKUP(AH22,Garderie_Mardi_VLOOKUP,3,FALSE),0)</f>
        <v>0</v>
      </c>
      <c r="BX22" s="124">
        <f>IFERROR(VLOOKUP(AJ22,Garderie_Mercredi_VLOOKUP,2,FALSE),0)</f>
        <v>0</v>
      </c>
      <c r="BZ22" s="124">
        <f>IFERROR(VLOOKUP(AJ22,Garderie_Mercredi_VLOOKUP,3,FALSE),0)</f>
        <v>0</v>
      </c>
      <c r="CB22" s="124">
        <f>IFERROR(VLOOKUP(AL22,Garderie_Jeudi_VLOOKUP,2,FALSE),0)</f>
        <v>0</v>
      </c>
      <c r="CD22" s="124">
        <f>IFERROR(VLOOKUP(AL22,Garderie_Jeudi_VLOOKUP,3,FALSE),0)</f>
        <v>0</v>
      </c>
      <c r="CF22" s="124">
        <f>IFERROR(VLOOKUP(AN22,Garderie_Vendredi_VLOOKUP,2,FALSE),0)</f>
        <v>0</v>
      </c>
      <c r="CH22" s="124">
        <f>IFERROR(VLOOKUP(AN22,Garderie_Vendredi_VLOOKUP,3,FALSE),0)</f>
        <v>0</v>
      </c>
      <c r="CJ22" s="124">
        <f>IFERROR(SUM(BP22,BT22,BX22,CB22,CF22),0)</f>
        <v>0</v>
      </c>
      <c r="CL22" s="124">
        <f>IFERROR(SUM(BR22,BV22,BZ22,CD22,CH22),0)</f>
        <v>0</v>
      </c>
    </row>
    <row r="23" spans="2:90" x14ac:dyDescent="0.2">
      <c r="B23" s="128"/>
      <c r="I23" s="8"/>
      <c r="J23" s="121"/>
      <c r="L23" s="137"/>
      <c r="M23" s="137"/>
      <c r="N23" s="137"/>
      <c r="O23" s="137"/>
      <c r="P23" s="137"/>
      <c r="Q23" s="137"/>
      <c r="R23" s="137"/>
      <c r="S23" s="137"/>
      <c r="T23" s="259" t="str" cm="1">
        <f t="array" aca="1" ref="T23" ca="1">IFERROR(
    IF(
        AND(
           T22=INDIRECT($B$4&amp;"_Oui"),
          OR($E22=FR_Lycée,$E22=EN_Lycée,$E22=DE_Lycée)
        ),
        INDIRECT($B$4&amp;"_ERR_Non_proposé_pour_lycée"),
       ""
    ),
    ""
)</f>
        <v/>
      </c>
      <c r="U23" s="259"/>
      <c r="V23" s="259"/>
      <c r="W23" s="137"/>
      <c r="X23" s="137"/>
      <c r="Y23" s="137"/>
      <c r="Z23" s="137"/>
      <c r="AB23" s="257" t="str" cm="1">
        <f t="array" aca="1" ref="AB23" ca="1">IF(
    AND(
         AB22&gt;0,
         OR($E22=FR_Maternelle,$E22=EN_Maternelle,$E22=DE_Maternelle,$E22=FR_Collège,$E22=EN_Collège,$E22=DE_Collège,$E22=FR_Lycée,$E22=EN_Lycée,$E22=DE_Lycée)
    ),
        INDIRECT($B$4&amp;"_ERR_Seulement_pour_élémentaire"),
        ""
)</f>
        <v/>
      </c>
      <c r="AC23" s="257"/>
      <c r="AD23" s="257"/>
      <c r="AM23" s="258" t="str" cm="1">
        <f t="array" aca="1" ref="AM23" ca="1">IF(
    AND(
         OR($AF22&gt;0,$AH22&gt;0,$AJ22&gt;0,$AL22&gt;0,$AN22&gt;0),
         OR($E22=FR_Collège,$E22=EN_Collège,$E22=DE_Collège,$E22=FR_Lycée,$E22=EN_Lycée,$E22=DE_Lycée)
    ),
        INDIRECT($B$4&amp;"_ERR_Non_proposé_pour_secondaire"),
        ""
)</f>
        <v/>
      </c>
      <c r="AN23" s="258"/>
      <c r="AO23" s="258"/>
      <c r="AP23" s="258"/>
      <c r="AR23" s="257" t="str" cm="1">
        <f t="array" aca="1" ref="AR23" ca="1">IF(
    AND(
        AR22&gt;0,
        OR($E22=FR_Collège, $E22=EN_Collège, $E22=DE_Collège, $E22=FR_Lycée, $E22=EN_Lycée, $E22=DE_Lycée)
    ),
     INDIRECT($B$4&amp;"_ERR_Non_proposé_pour_secondaire"),
    ""
)</f>
        <v/>
      </c>
      <c r="AS23" s="257"/>
      <c r="AT23" s="257"/>
      <c r="AV23" s="257" t="str" cm="1">
        <f t="array" aca="1" ref="AV23" ca="1">IFERROR(
    IF(
        AND(
            AV22=INDIRECT($B$4&amp;"_Oui"),
            OR($E22=FR_Collège, $E22=EN_Collège, $E22=DE_Collège, $E22=FR_Lycée, $E22=EN_Lycée, $E22=DE_Lycée)
       ),
         INDIRECT($B$4&amp;"_ERR_Non_proposé_pour_secondaire"),
        ""
    ),
    ""
)</f>
        <v/>
      </c>
      <c r="AW23" s="257"/>
      <c r="AX23" s="257"/>
      <c r="AZ23" s="137"/>
    </row>
    <row r="24" spans="2:90" ht="16.5" x14ac:dyDescent="0.25">
      <c r="B24" s="128" t="s">
        <v>111</v>
      </c>
      <c r="E24" s="141">
        <f>COUNTIF(E14:E23, "&lt;&gt;")</f>
        <v>0</v>
      </c>
      <c r="J24" s="121"/>
      <c r="L24" s="137"/>
      <c r="M24" s="137"/>
      <c r="N24" s="137"/>
      <c r="O24" s="137"/>
      <c r="P24" s="138">
        <f ca="1">SUM(P14:P23)</f>
        <v>0</v>
      </c>
      <c r="Q24" s="137"/>
      <c r="R24" s="138">
        <f ca="1">SUM(R14:R23)</f>
        <v>0</v>
      </c>
      <c r="S24" s="137"/>
      <c r="T24" s="137"/>
      <c r="U24" s="137"/>
      <c r="V24" s="138">
        <f ca="1">SUM(V14:V23)</f>
        <v>0</v>
      </c>
      <c r="W24" s="137"/>
      <c r="X24" s="137"/>
      <c r="Y24" s="137"/>
      <c r="Z24" s="138">
        <f ca="1">SUM(Z14:Z23)</f>
        <v>0</v>
      </c>
      <c r="AD24" s="138">
        <f ca="1">SUM(AD14:AD23)</f>
        <v>0</v>
      </c>
      <c r="AP24" s="138">
        <f>SUM(AP14:AP23)</f>
        <v>0</v>
      </c>
      <c r="AR24" t="s">
        <v>112</v>
      </c>
      <c r="AT24" s="138">
        <f>SUM(AT14:AT23)</f>
        <v>0</v>
      </c>
      <c r="AX24" s="138">
        <f ca="1">SUM(AX14:AX23)</f>
        <v>0</v>
      </c>
      <c r="AZ24" s="138">
        <f ca="1">SUM(AZ14:AZ23)</f>
        <v>0</v>
      </c>
      <c r="BB24" s="122" t="s">
        <v>113</v>
      </c>
    </row>
    <row r="25" spans="2:90" x14ac:dyDescent="0.2">
      <c r="BB25" s="122" t="str" cm="1">
        <f t="array" aca="1" ref="BB25" ca="1">IF(OR(I31=INDIRECT($B$4&amp;"_Oui"), I31=""),"TO","TR")</f>
        <v>TO</v>
      </c>
      <c r="CJ25" s="133"/>
    </row>
    <row r="27" spans="2:90" ht="6" customHeight="1" x14ac:dyDescent="0.2">
      <c r="C27" s="126"/>
      <c r="D27" s="126"/>
      <c r="E27" s="126"/>
      <c r="F27" s="126"/>
      <c r="G27" s="126"/>
      <c r="H27" s="126"/>
      <c r="I27" s="126"/>
      <c r="J27" s="126"/>
      <c r="K27" s="126"/>
    </row>
    <row r="28" spans="2:90" ht="6" customHeight="1" x14ac:dyDescent="0.2">
      <c r="C28" s="126"/>
      <c r="K28" s="126"/>
    </row>
    <row r="29" spans="2:90" x14ac:dyDescent="0.2">
      <c r="C29" s="126"/>
      <c r="E29" s="118" t="s">
        <v>114</v>
      </c>
      <c r="K29" s="126"/>
      <c r="BB29" s="122" t="str" cm="1">
        <f t="array" aca="1" ref="BB29" ca="1">IF(
    BB25="TO",
        "TO",
        IF(
            OR(I33=INDIRECT($B$4&amp;"_Oui"), I33=INDIRECT($B$4&amp;"_Ne_souhaite_pas_répondre"),I33=""),
                "TR123",
                "TR456"
        )
)</f>
        <v>TO</v>
      </c>
    </row>
    <row r="30" spans="2:90" ht="5.25" customHeight="1" x14ac:dyDescent="0.2">
      <c r="C30" s="126"/>
      <c r="K30" s="126"/>
    </row>
    <row r="31" spans="2:90" ht="16.5" x14ac:dyDescent="0.25">
      <c r="C31" s="126"/>
      <c r="E31" t="s">
        <v>115</v>
      </c>
      <c r="I31" s="129"/>
      <c r="K31" s="126"/>
    </row>
    <row r="32" spans="2:90" ht="5.25" customHeight="1" x14ac:dyDescent="0.2">
      <c r="C32" s="126"/>
      <c r="K32" s="126"/>
    </row>
    <row r="33" spans="2:11" ht="16.5" x14ac:dyDescent="0.25">
      <c r="C33" s="126"/>
      <c r="E33" t="s">
        <v>116</v>
      </c>
      <c r="I33" s="129"/>
      <c r="K33" s="126"/>
    </row>
    <row r="34" spans="2:11" ht="6" customHeight="1" x14ac:dyDescent="0.2">
      <c r="C34" s="126"/>
      <c r="K34" s="126"/>
    </row>
    <row r="35" spans="2:11" ht="6" customHeight="1" x14ac:dyDescent="0.2">
      <c r="C35" s="126"/>
      <c r="D35" s="126"/>
      <c r="E35" s="126"/>
      <c r="F35" s="126"/>
      <c r="G35" s="126"/>
      <c r="H35" s="126"/>
      <c r="I35" s="126"/>
      <c r="J35" s="126"/>
      <c r="K35" s="126"/>
    </row>
    <row r="38" spans="2:11" ht="16.5" x14ac:dyDescent="0.25">
      <c r="E38" t="s">
        <v>117</v>
      </c>
      <c r="G38" s="135" cm="1">
        <f t="array" aca="1" ref="G38" ca="1">IFERROR(
    IF(
        AND(COUNTIF(BD14:BD23,Paramètres!G17)=0,INDIRECT($B$4&amp;"_Nombre_Enfants_à_scolariser")&gt;0),
            T_Dépôt_de_garantie,
            0
    )
    +N("Si Nb Enfants inscrits N-1 = 0 on facture le dépôt de garantie"),
    0
)</f>
        <v>0</v>
      </c>
      <c r="I38" s="134" t="str" cm="1">
        <f t="array" aca="1" ref="I38" ca="1">IFERROR(
    _xlfn.IFS(
        INDIRECT($B$4&amp;"_Nombre_Enfants_à_scolariser")=0,
            "",
        INDIRECT($B$4&amp;"_Nombre_Enfants_à_scolariser")&gt;0,
            IF(
                COUNTIF(BD13:BD22,Paramètres!G17)=0+N("Nb Réinscription = 0"),
                     INDIRECT($B$4&amp;"_INFO_Dépôt_de_garantie_à_verser_lors_de_la_première_inscription"),
                     INDIRECT($B$4&amp;"_INFO_Dépôt_de_garantie_déjà_versé")
            )
    ),
    ""
)</f>
        <v/>
      </c>
    </row>
    <row r="39" spans="2:11" ht="15.75" thickBot="1" x14ac:dyDescent="0.25"/>
    <row r="40" spans="2:11" ht="21.75" thickBot="1" x14ac:dyDescent="0.35">
      <c r="B40" s="145" t="s">
        <v>118</v>
      </c>
      <c r="C40" s="132"/>
      <c r="D40" s="132"/>
      <c r="E40" s="157">
        <f>IFERROR(
    IF(
       OR(COUNTIF(E14:E23, "&lt;&gt;")&lt;&gt;COUNTIF(G14:G23, "&lt;&gt;"),I31="", I33=""),
            0,
            SUM(G38,AZ24)
    ),
    0
)</f>
        <v>0</v>
      </c>
      <c r="G40" s="256" t="str" cm="1">
        <f t="array" aca="1" ref="G40" ca="1">IFERROR(
    _xlfn.IFS(
        COUNTIF($E$14:$E$23, "&lt;&gt;")&lt;&gt;COUNTIF($G$14:$G$23, "&lt;&gt;"),
            INDIRECT($B$4&amp;"_ERR_Données_oligatoires_manquantes"),
        OR(I31="",I33=""),
            INDIRECT($B$4&amp;"_ERR_Données_tarifs_réduits_manquantes")
    ),
    "OK"
)</f>
        <v>Saisir les données de tarifs réduits pour obtenir un total valide</v>
      </c>
      <c r="H40" s="256"/>
      <c r="I40" s="256"/>
    </row>
    <row r="44" spans="2:11" ht="17.25" x14ac:dyDescent="0.25">
      <c r="B44" s="142" t="s">
        <v>119</v>
      </c>
    </row>
    <row r="45" spans="2:11" ht="17.25" x14ac:dyDescent="0.25">
      <c r="B45" s="142" t="s">
        <v>120</v>
      </c>
    </row>
  </sheetData>
  <sheetProtection algorithmName="SHA-512" hashValue="Ta3WFqzYF7qceDMICzFcuQTczjmWi6bV/fczpxCYEH8Qdc7Vu/YL3voO8ryfYiMKTuFLDAVjr4FUIuco2DlgDQ==" saltValue="RTUuWyOs5cYg1/bNlmNMuA==" spinCount="100000" sheet="1" objects="1" scenarios="1"/>
  <mergeCells count="26">
    <mergeCell ref="T21:V21"/>
    <mergeCell ref="T19:V19"/>
    <mergeCell ref="T17:V17"/>
    <mergeCell ref="T15:V15"/>
    <mergeCell ref="T23:V23"/>
    <mergeCell ref="AV17:AX17"/>
    <mergeCell ref="AV15:AX15"/>
    <mergeCell ref="AV23:AX23"/>
    <mergeCell ref="AV21:AX21"/>
    <mergeCell ref="AV19:AX19"/>
    <mergeCell ref="G40:I40"/>
    <mergeCell ref="AR15:AT15"/>
    <mergeCell ref="AR17:AT17"/>
    <mergeCell ref="AR19:AT19"/>
    <mergeCell ref="AR21:AT21"/>
    <mergeCell ref="AR23:AT23"/>
    <mergeCell ref="AM17:AP17"/>
    <mergeCell ref="AM15:AP15"/>
    <mergeCell ref="AM19:AP19"/>
    <mergeCell ref="AM21:AP21"/>
    <mergeCell ref="AM23:AP23"/>
    <mergeCell ref="AB15:AD15"/>
    <mergeCell ref="AB17:AD17"/>
    <mergeCell ref="AB19:AD19"/>
    <mergeCell ref="AB21:AD21"/>
    <mergeCell ref="AB23:AD23"/>
  </mergeCells>
  <phoneticPr fontId="37" type="noConversion"/>
  <conditionalFormatting sqref="G40">
    <cfRule type="expression" dxfId="131" priority="7" stopIfTrue="1">
      <formula>G40="OK"</formula>
    </cfRule>
    <cfRule type="expression" dxfId="130" priority="8">
      <formula>NOT(ISBLANK(G40))</formula>
    </cfRule>
  </conditionalFormatting>
  <conditionalFormatting sqref="I38:M38">
    <cfRule type="expression" dxfId="129" priority="1" stopIfTrue="1">
      <formula>$I$38&lt;&gt;""</formula>
    </cfRule>
    <cfRule type="expression" dxfId="128" priority="2">
      <formula>I38=""</formula>
    </cfRule>
  </conditionalFormatting>
  <dataValidations count="13">
    <dataValidation type="list" allowBlank="1" showInputMessage="1" showErrorMessage="1" sqref="I33" xr:uid="{C026D676-6350-9C4A-ABE7-A8F12C51E470}">
      <formula1>INDIRECT($B$4&amp;"_Liste_Oui_Non_Ne_souhaite_pas_répondre")</formula1>
    </dataValidation>
    <dataValidation type="list" allowBlank="1" showInputMessage="1" showErrorMessage="1" sqref="I31 T14 AV14 AV16 AV18 AV20 AV22 T16 T18 T20 T22" xr:uid="{F2239B23-877A-7F4F-B950-24685950B648}">
      <formula1>INDIRECT($B$4&amp;"_Liste_Oui_Non")</formula1>
    </dataValidation>
    <dataValidation type="decimal" operator="lessThan" allowBlank="1" showInputMessage="1" showErrorMessage="1" sqref="I14 I16 I18 I20 I22" xr:uid="{199116D4-0859-6D43-9002-BAAF67DDBD32}">
      <formula1>100</formula1>
    </dataValidation>
    <dataValidation type="list" allowBlank="1" showInputMessage="1" showErrorMessage="1" sqref="X14 X20 X16 X18 X22" xr:uid="{CDA463E6-7289-314A-B061-9103E11C773A}">
      <formula1>INDIRECT(BJ14)</formula1>
    </dataValidation>
    <dataValidation type="decimal" allowBlank="1" showInputMessage="1" showErrorMessage="1" sqref="AR14 AR20 AR16 AR18 AR22" xr:uid="{08DA693E-1E29-A44E-96DC-04BC3E610361}">
      <formula1>0</formula1>
      <formula2>10</formula2>
    </dataValidation>
    <dataValidation type="list" allowBlank="1" showInputMessage="1" showErrorMessage="1" sqref="G14 G16 G18 G20 G22" xr:uid="{D00F810D-5B02-904D-9253-9C19F79825C7}">
      <formula1>INDIRECT($B$4&amp;"_Inscription")</formula1>
    </dataValidation>
    <dataValidation type="list" allowBlank="1" showInputMessage="1" showErrorMessage="1" sqref="AB14 AB16 AB18 AB20 AB22" xr:uid="{40A75DEE-CE8A-C94E-808B-1466B20D32B5}">
      <formula1>INDIRECT($B$4&amp;"_Étude_dirigée")</formula1>
    </dataValidation>
    <dataValidation type="list" allowBlank="1" showInputMessage="1" showErrorMessage="1" sqref="AF14 AF16 AF18 AF20 AF22" xr:uid="{B164CF17-0DAC-3A45-8DF4-71FB6716FDF7}">
      <formula1>INDIRECT($B$4&amp;"_Garderie_Lundi")</formula1>
    </dataValidation>
    <dataValidation type="list" allowBlank="1" showInputMessage="1" showErrorMessage="1" sqref="AH14 AH16 AH18 AH20 AH22" xr:uid="{B98F2438-87D3-1C40-A990-07954599BEA1}">
      <formula1>INDIRECT($B$4&amp;"_Garderie_Mardi")</formula1>
    </dataValidation>
    <dataValidation type="list" allowBlank="1" showInputMessage="1" showErrorMessage="1" sqref="AJ14 AJ16 AJ18 AJ20 AJ22" xr:uid="{2A5BC217-F9B7-C14C-92F7-DEE0AC776318}">
      <formula1>INDIRECT($B$4&amp;"_Garderie_Mercredi")</formula1>
    </dataValidation>
    <dataValidation type="list" allowBlank="1" showInputMessage="1" showErrorMessage="1" sqref="AL14 AL16 AL18 AL20 AL22" xr:uid="{99F82632-EF0E-AF42-BFFA-99935F4EFC38}">
      <formula1>INDIRECT($B$4&amp;"_Garderie_Jeudi")</formula1>
    </dataValidation>
    <dataValidation type="list" allowBlank="1" showInputMessage="1" showErrorMessage="1" sqref="AN14 AN16 AN18 AN20 AN22" xr:uid="{9D919DC4-DAE7-774B-9C5D-70C157211A96}">
      <formula1>INDIRECT($B$4&amp;"_Garderie_Vendredi")</formula1>
    </dataValidation>
    <dataValidation type="list" allowBlank="1" showInputMessage="1" showErrorMessage="1" sqref="E14 E16 E18 E20 E22" xr:uid="{17CC9947-B77F-4AEE-BA8E-420B1A396119}">
      <formula1>INDIRECT($B$4&amp;"_Niveaux")</formula1>
    </dataValidation>
  </dataValidations>
  <hyperlinks>
    <hyperlink ref="B44" location="'Simulateur | EN'!A1" display="English" xr:uid="{CD1E9D05-465E-5647-A691-0380B5354B64}"/>
    <hyperlink ref="B45" location="'Simulateur | DE'!A1" display="Deutsch" xr:uid="{BFA67A40-CEC2-044B-9CF6-9CC8AA1C648B}"/>
  </hyperlinks>
  <pageMargins left="0.7" right="0.7" top="0.75" bottom="0.75" header="0.3" footer="0.3"/>
  <pageSetup paperSize="9" scale="30" orientation="landscape" horizontalDpi="300" verticalDpi="300" r:id="rId1"/>
  <headerFooter>
    <oddFooter>&amp;L_x000D_&amp;1#&amp;"Calibri"&amp;10&amp;K000000 Sensitivity: C2 Internal</oddFooter>
  </headerFooter>
  <cellWatches>
    <cellWatch r="CN14"/>
  </cellWatche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528F6144-108C-8945-82FA-5B13DB839B18}">
            <xm:f>Paramètres!$D$45=$E14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11" id="{9CC6B086-9300-A04F-B16D-4340C8FCF75F}">
            <xm:f>Paramètres!$D$32=$E14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12" id="{D97A6F03-87E9-C245-AB97-7C37E8277E8A}">
            <xm:f>Paramètres!$D$19=$E14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13" id="{8560B5BD-CCCC-5247-B1CB-CF7E816BFD5C}">
            <xm:f>Paramètres!$D$44=$E14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4" id="{B3AD4AE2-7D0E-CF49-AF5C-39909F5838A4}">
            <xm:f>Paramètres!$D$31=$E14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5" id="{85DED563-3142-6D44-8368-FBD32C723EEC}">
            <xm:f>Paramètres!$D$18=$E14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6" id="{6BD3BCBE-8C5F-FD49-993C-F757C98149DD}">
            <xm:f>Paramètres!$D$43=$E14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17" id="{57CE6A71-849D-D54D-AD9E-EDAC7B6C556B}">
            <xm:f>Paramètres!$D$30=$E14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18" id="{DFD7E81A-F974-AD48-853D-4F148A0C48CA}">
            <xm:f>Paramètres!$D$17=$E14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19" id="{D60921F1-5F29-964B-86E0-C0DB7DE0E379}">
            <xm:f>Paramètres!$D$42=$E14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20" id="{8064AD70-43AB-824D-AF31-4429E4185BA4}">
            <xm:f>Paramètres!$D$29=$E14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21" id="{1593BB24-7463-4A45-B5D2-DF7FE5F08758}">
            <xm:f>Paramètres!$D$16=$E14</xm:f>
            <x14:dxf>
              <fill>
                <patternFill>
                  <bgColor rgb="FFFFCC33"/>
                </patternFill>
              </fill>
            </x14:dxf>
          </x14:cfRule>
          <xm:sqref>E14 E16 E18 E20 E22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AEAEC-4B5D-8547-8DFA-9D83658B2007}">
  <sheetPr codeName="Sheet3">
    <tabColor rgb="FFC94A34"/>
    <pageSetUpPr fitToPage="1"/>
  </sheetPr>
  <dimension ref="A1:K47"/>
  <sheetViews>
    <sheetView showGridLines="0" zoomScale="81" zoomScaleNormal="70" workbookViewId="0">
      <selection activeCell="D54" sqref="D54"/>
    </sheetView>
  </sheetViews>
  <sheetFormatPr defaultColWidth="10.625" defaultRowHeight="15" x14ac:dyDescent="0.2"/>
  <cols>
    <col min="1" max="1" width="4.9765625" customWidth="1"/>
    <col min="2" max="2" width="21.38671875" customWidth="1"/>
    <col min="3" max="3" width="50.84765625" customWidth="1"/>
    <col min="4" max="4" width="15.46875" customWidth="1"/>
    <col min="5" max="5" width="6.45703125" customWidth="1"/>
    <col min="6" max="6" width="16.54296875" customWidth="1"/>
    <col min="7" max="10" width="19.37109375" bestFit="1" customWidth="1"/>
    <col min="11" max="11" width="4.9765625" customWidth="1"/>
    <col min="14" max="14" width="9.14453125" customWidth="1"/>
  </cols>
  <sheetData>
    <row r="1" spans="1:11" x14ac:dyDescent="0.2">
      <c r="A1" s="1"/>
      <c r="B1" s="2"/>
      <c r="C1" s="2"/>
      <c r="D1" s="2"/>
      <c r="E1" s="3"/>
      <c r="F1" s="2"/>
      <c r="G1" s="4"/>
      <c r="H1" s="2"/>
      <c r="I1" s="5"/>
      <c r="J1" s="2"/>
      <c r="K1" s="6"/>
    </row>
    <row r="2" spans="1:11" ht="34.5" x14ac:dyDescent="0.5">
      <c r="A2" s="7"/>
      <c r="C2" s="183"/>
      <c r="D2" s="183"/>
      <c r="E2" s="183"/>
      <c r="F2" s="183"/>
      <c r="G2" s="183"/>
      <c r="H2" s="183"/>
      <c r="I2" s="8"/>
      <c r="K2" s="9"/>
    </row>
    <row r="3" spans="1:11" x14ac:dyDescent="0.2">
      <c r="A3" s="7"/>
      <c r="E3" s="10"/>
      <c r="G3" s="11"/>
      <c r="I3" s="8"/>
      <c r="K3" s="9"/>
    </row>
    <row r="4" spans="1:11" x14ac:dyDescent="0.2">
      <c r="A4" s="7"/>
      <c r="E4" s="10"/>
      <c r="G4" s="11"/>
      <c r="I4" s="8"/>
      <c r="K4" s="9"/>
    </row>
    <row r="5" spans="1:11" ht="15.75" thickBot="1" x14ac:dyDescent="0.25">
      <c r="A5" s="7"/>
      <c r="E5" s="10"/>
      <c r="G5" s="11"/>
      <c r="I5" s="8"/>
      <c r="K5" s="9"/>
    </row>
    <row r="6" spans="1:11" ht="25.5" thickBot="1" x14ac:dyDescent="0.35">
      <c r="A6" s="7"/>
      <c r="B6" s="184" t="s">
        <v>121</v>
      </c>
      <c r="C6" s="185"/>
      <c r="D6" s="185"/>
      <c r="E6" s="185"/>
      <c r="F6" s="185"/>
      <c r="G6" s="185"/>
      <c r="H6" s="185"/>
      <c r="I6" s="185"/>
      <c r="J6" s="186"/>
      <c r="K6" s="12"/>
    </row>
    <row r="7" spans="1:11" x14ac:dyDescent="0.2">
      <c r="A7" s="7"/>
      <c r="B7" s="13"/>
      <c r="C7" s="14"/>
      <c r="D7" s="14"/>
      <c r="E7" s="14"/>
      <c r="F7" s="14"/>
      <c r="G7" s="14"/>
      <c r="H7" s="14"/>
      <c r="I7" s="14"/>
      <c r="J7" s="15"/>
      <c r="K7" s="16"/>
    </row>
    <row r="8" spans="1:11" ht="15.75" thickBot="1" x14ac:dyDescent="0.25">
      <c r="A8" s="7"/>
      <c r="B8" s="17"/>
      <c r="C8" s="18"/>
      <c r="D8" s="18"/>
      <c r="E8" s="19"/>
      <c r="F8" s="18"/>
      <c r="G8" s="20"/>
      <c r="H8" s="18"/>
      <c r="I8" s="21"/>
      <c r="J8" s="22"/>
      <c r="K8" s="23"/>
    </row>
    <row r="9" spans="1:11" ht="21.75" thickBot="1" x14ac:dyDescent="0.3">
      <c r="A9" s="7"/>
      <c r="B9" s="187" t="s">
        <v>122</v>
      </c>
      <c r="C9" s="188"/>
      <c r="D9" s="188"/>
      <c r="E9" s="188"/>
      <c r="F9" s="188"/>
      <c r="G9" s="188"/>
      <c r="H9" s="188"/>
      <c r="I9" s="188"/>
      <c r="J9" s="189"/>
      <c r="K9" s="24"/>
    </row>
    <row r="10" spans="1:11" ht="18" x14ac:dyDescent="0.2">
      <c r="A10" s="7"/>
      <c r="B10" s="190"/>
      <c r="C10" s="191"/>
      <c r="D10" s="191"/>
      <c r="E10" s="191"/>
      <c r="F10" s="192"/>
      <c r="G10" s="25" t="s">
        <v>123</v>
      </c>
      <c r="H10" s="26" t="s">
        <v>124</v>
      </c>
      <c r="I10" s="27" t="s">
        <v>125</v>
      </c>
      <c r="J10" s="28" t="s">
        <v>126</v>
      </c>
      <c r="K10" s="24"/>
    </row>
    <row r="11" spans="1:11" ht="18" x14ac:dyDescent="0.2">
      <c r="A11" s="7"/>
      <c r="B11" s="29" t="s">
        <v>127</v>
      </c>
      <c r="C11" s="193" t="s">
        <v>128</v>
      </c>
      <c r="D11" s="194"/>
      <c r="E11" s="194"/>
      <c r="F11" s="194"/>
      <c r="G11" s="30">
        <v>18469</v>
      </c>
      <c r="H11" s="31">
        <v>17074</v>
      </c>
      <c r="I11" s="32">
        <v>22935</v>
      </c>
      <c r="J11" s="33">
        <v>26889</v>
      </c>
      <c r="K11" s="24"/>
    </row>
    <row r="12" spans="1:11" ht="40.35" customHeight="1" x14ac:dyDescent="0.2">
      <c r="A12" s="7"/>
      <c r="B12" s="177" t="s">
        <v>129</v>
      </c>
      <c r="C12" s="180" t="s">
        <v>130</v>
      </c>
      <c r="D12" s="179"/>
      <c r="E12" s="179"/>
      <c r="F12" s="179"/>
      <c r="G12" s="34">
        <v>13667</v>
      </c>
      <c r="H12" s="35">
        <v>12635</v>
      </c>
      <c r="I12" s="36">
        <v>16972</v>
      </c>
      <c r="J12" s="37">
        <v>19898</v>
      </c>
      <c r="K12" s="24"/>
    </row>
    <row r="13" spans="1:11" ht="40.35" customHeight="1" x14ac:dyDescent="0.2">
      <c r="A13" s="7"/>
      <c r="B13" s="177"/>
      <c r="C13" s="265" t="s">
        <v>131</v>
      </c>
      <c r="D13" s="266"/>
      <c r="E13" s="266"/>
      <c r="F13" s="267"/>
      <c r="G13" s="34">
        <v>13298</v>
      </c>
      <c r="H13" s="35">
        <v>12293</v>
      </c>
      <c r="I13" s="36">
        <v>16513</v>
      </c>
      <c r="J13" s="37">
        <v>19360</v>
      </c>
      <c r="K13" s="24"/>
    </row>
    <row r="14" spans="1:11" ht="40.35" customHeight="1" x14ac:dyDescent="0.2">
      <c r="A14" s="7"/>
      <c r="B14" s="177"/>
      <c r="C14" s="180" t="s">
        <v>132</v>
      </c>
      <c r="D14" s="179"/>
      <c r="E14" s="179"/>
      <c r="F14" s="179"/>
      <c r="G14" s="34">
        <v>11451</v>
      </c>
      <c r="H14" s="35">
        <v>10586</v>
      </c>
      <c r="I14" s="36">
        <v>14219</v>
      </c>
      <c r="J14" s="37">
        <v>16671</v>
      </c>
      <c r="K14" s="24"/>
    </row>
    <row r="15" spans="1:11" ht="40.35" customHeight="1" x14ac:dyDescent="0.2">
      <c r="A15" s="7"/>
      <c r="B15" s="177"/>
      <c r="C15" s="180" t="s">
        <v>133</v>
      </c>
      <c r="D15" s="179"/>
      <c r="E15" s="179"/>
      <c r="F15" s="179"/>
      <c r="G15" s="34">
        <v>10527</v>
      </c>
      <c r="H15" s="35">
        <v>9732</v>
      </c>
      <c r="I15" s="36">
        <v>13073</v>
      </c>
      <c r="J15" s="37">
        <v>15327</v>
      </c>
      <c r="K15" s="24"/>
    </row>
    <row r="16" spans="1:11" ht="38.25" customHeight="1" x14ac:dyDescent="0.2">
      <c r="A16" s="7"/>
      <c r="B16" s="177"/>
      <c r="C16" s="180" t="s">
        <v>134</v>
      </c>
      <c r="D16" s="179"/>
      <c r="E16" s="179"/>
      <c r="F16" s="179"/>
      <c r="G16" s="34">
        <v>10158</v>
      </c>
      <c r="H16" s="35">
        <v>9391</v>
      </c>
      <c r="I16" s="36">
        <v>12614</v>
      </c>
      <c r="J16" s="37">
        <v>14789</v>
      </c>
      <c r="K16" s="24"/>
    </row>
    <row r="17" spans="1:11" ht="41.85" customHeight="1" thickBot="1" x14ac:dyDescent="0.25">
      <c r="A17" s="7"/>
      <c r="B17" s="178"/>
      <c r="C17" s="181" t="s">
        <v>135</v>
      </c>
      <c r="D17" s="182"/>
      <c r="E17" s="182"/>
      <c r="F17" s="182"/>
      <c r="G17" s="38">
        <v>8311</v>
      </c>
      <c r="H17" s="39">
        <v>7683</v>
      </c>
      <c r="I17" s="40">
        <v>10321</v>
      </c>
      <c r="J17" s="41">
        <v>12100</v>
      </c>
      <c r="K17" s="24"/>
    </row>
    <row r="18" spans="1:11" ht="18" x14ac:dyDescent="0.2">
      <c r="A18" s="7"/>
      <c r="B18" s="42"/>
      <c r="C18" s="43"/>
      <c r="D18" s="43"/>
      <c r="E18" s="43"/>
      <c r="F18" s="44"/>
      <c r="G18" s="44"/>
      <c r="H18" s="44"/>
      <c r="I18" s="44"/>
      <c r="J18" s="45"/>
      <c r="K18" s="24"/>
    </row>
    <row r="19" spans="1:11" ht="15.75" thickBot="1" x14ac:dyDescent="0.25">
      <c r="A19" s="7"/>
      <c r="B19" s="146"/>
      <c r="C19" s="46"/>
      <c r="D19" s="47"/>
      <c r="E19" s="47"/>
      <c r="F19" s="48"/>
      <c r="G19" s="49"/>
      <c r="H19" s="48"/>
      <c r="I19" s="50"/>
      <c r="J19" s="48"/>
      <c r="K19" s="24"/>
    </row>
    <row r="20" spans="1:11" ht="21.75" thickBot="1" x14ac:dyDescent="0.3">
      <c r="A20" s="7"/>
      <c r="B20" s="260" t="s">
        <v>136</v>
      </c>
      <c r="C20" s="261"/>
      <c r="D20" s="262"/>
      <c r="E20" s="51"/>
      <c r="F20" s="187" t="s">
        <v>137</v>
      </c>
      <c r="G20" s="188"/>
      <c r="H20" s="188"/>
      <c r="I20" s="188"/>
      <c r="J20" s="189"/>
      <c r="K20" s="24"/>
    </row>
    <row r="21" spans="1:11" ht="19.350000000000001" customHeight="1" x14ac:dyDescent="0.2">
      <c r="A21" s="7"/>
      <c r="B21" s="198" t="s">
        <v>138</v>
      </c>
      <c r="C21" s="91" t="s">
        <v>139</v>
      </c>
      <c r="D21" s="63">
        <v>1000</v>
      </c>
      <c r="E21" s="54"/>
      <c r="F21" s="92"/>
      <c r="G21" s="25" t="s">
        <v>123</v>
      </c>
      <c r="H21" s="26" t="s">
        <v>124</v>
      </c>
      <c r="I21" s="27" t="s">
        <v>125</v>
      </c>
      <c r="J21" s="28" t="s">
        <v>126</v>
      </c>
      <c r="K21" s="24"/>
    </row>
    <row r="22" spans="1:11" ht="18" x14ac:dyDescent="0.2">
      <c r="A22" s="7"/>
      <c r="B22" s="198"/>
      <c r="C22" s="93" t="s">
        <v>140</v>
      </c>
      <c r="D22" s="56">
        <v>1250</v>
      </c>
      <c r="E22" s="54"/>
      <c r="F22" s="94" t="s">
        <v>141</v>
      </c>
      <c r="G22" s="95">
        <v>2003</v>
      </c>
      <c r="H22" s="96">
        <v>2003</v>
      </c>
      <c r="I22" s="97"/>
      <c r="J22" s="98"/>
      <c r="K22" s="24"/>
    </row>
    <row r="23" spans="1:11" ht="18.75" thickBot="1" x14ac:dyDescent="0.25">
      <c r="A23" s="7"/>
      <c r="B23" s="198"/>
      <c r="C23" s="99" t="s">
        <v>142</v>
      </c>
      <c r="D23" s="58">
        <v>4000</v>
      </c>
      <c r="E23" s="59"/>
      <c r="F23" s="94" t="s">
        <v>143</v>
      </c>
      <c r="G23" s="34">
        <v>2517</v>
      </c>
      <c r="H23" s="35">
        <v>2517</v>
      </c>
      <c r="I23" s="36">
        <v>2517</v>
      </c>
      <c r="J23" s="37">
        <v>1837</v>
      </c>
      <c r="K23" s="24"/>
    </row>
    <row r="24" spans="1:11" ht="19.350000000000001" customHeight="1" x14ac:dyDescent="0.2">
      <c r="A24" s="7"/>
      <c r="B24" s="199" t="s">
        <v>144</v>
      </c>
      <c r="C24" s="207" t="s">
        <v>139</v>
      </c>
      <c r="D24" s="263">
        <v>275</v>
      </c>
      <c r="E24" s="60"/>
      <c r="F24" s="100" t="s">
        <v>145</v>
      </c>
      <c r="G24" s="101"/>
      <c r="H24" s="102">
        <v>1050</v>
      </c>
      <c r="I24" s="103">
        <v>1050</v>
      </c>
      <c r="J24" s="104">
        <v>0</v>
      </c>
      <c r="K24" s="24"/>
    </row>
    <row r="25" spans="1:11" ht="23.25" customHeight="1" thickBot="1" x14ac:dyDescent="0.25">
      <c r="A25" s="7"/>
      <c r="B25" s="206"/>
      <c r="C25" s="208"/>
      <c r="D25" s="264"/>
      <c r="E25" s="61"/>
      <c r="F25" s="105" t="s">
        <v>146</v>
      </c>
      <c r="G25" s="211" t="s">
        <v>27</v>
      </c>
      <c r="H25" s="212"/>
      <c r="I25" s="212"/>
      <c r="J25" s="213"/>
      <c r="K25" s="24"/>
    </row>
    <row r="26" spans="1:11" ht="21" customHeight="1" x14ac:dyDescent="0.2">
      <c r="A26" s="62"/>
      <c r="B26" s="199" t="s">
        <v>147</v>
      </c>
      <c r="C26" s="106" t="s">
        <v>148</v>
      </c>
      <c r="D26" s="63">
        <v>350</v>
      </c>
      <c r="E26" s="107"/>
      <c r="F26" s="200" t="s">
        <v>149</v>
      </c>
      <c r="G26" s="201"/>
      <c r="H26" s="201"/>
      <c r="I26" s="201"/>
      <c r="J26" s="202"/>
      <c r="K26" s="24"/>
    </row>
    <row r="27" spans="1:11" ht="18.75" thickBot="1" x14ac:dyDescent="0.25">
      <c r="A27" s="64"/>
      <c r="B27" s="198"/>
      <c r="C27" s="93" t="s">
        <v>150</v>
      </c>
      <c r="D27" s="56">
        <v>760</v>
      </c>
      <c r="E27" s="65"/>
      <c r="F27" s="203"/>
      <c r="G27" s="204"/>
      <c r="H27" s="204"/>
      <c r="I27" s="204"/>
      <c r="J27" s="205"/>
      <c r="K27" s="24"/>
    </row>
    <row r="28" spans="1:11" ht="18" x14ac:dyDescent="0.2">
      <c r="A28" s="64"/>
      <c r="B28" s="198"/>
      <c r="C28" s="93" t="s">
        <v>151</v>
      </c>
      <c r="D28" s="56">
        <v>760</v>
      </c>
      <c r="E28" s="65"/>
      <c r="F28" s="66"/>
      <c r="G28" s="67"/>
      <c r="H28" s="67"/>
      <c r="I28" s="67"/>
      <c r="J28" s="67"/>
      <c r="K28" s="68"/>
    </row>
    <row r="29" spans="1:11" ht="18" customHeight="1" thickBot="1" x14ac:dyDescent="0.25">
      <c r="A29" s="69"/>
      <c r="B29" s="198"/>
      <c r="C29" s="99" t="s">
        <v>152</v>
      </c>
      <c r="D29" s="58">
        <v>760</v>
      </c>
      <c r="E29" s="65"/>
      <c r="F29" s="70"/>
      <c r="G29" s="71"/>
      <c r="H29" s="71"/>
      <c r="I29" s="71"/>
      <c r="J29" s="71"/>
      <c r="K29" s="68"/>
    </row>
    <row r="30" spans="1:11" x14ac:dyDescent="0.2">
      <c r="A30" s="83"/>
      <c r="B30" s="84"/>
      <c r="C30" s="84"/>
      <c r="D30" s="84"/>
      <c r="E30" s="84"/>
      <c r="F30" s="84"/>
      <c r="G30" s="84"/>
      <c r="H30" s="84"/>
      <c r="I30" s="84"/>
      <c r="J30" s="84"/>
      <c r="K30" s="85"/>
    </row>
    <row r="34" spans="2:11" ht="21" x14ac:dyDescent="0.2">
      <c r="B34" s="235" t="s">
        <v>153</v>
      </c>
      <c r="C34" s="236"/>
      <c r="D34" s="236"/>
      <c r="E34" s="236"/>
      <c r="F34" s="236"/>
      <c r="G34" s="236"/>
      <c r="H34" s="236"/>
      <c r="I34" s="236"/>
      <c r="J34" s="236"/>
    </row>
    <row r="35" spans="2:11" ht="13.35" customHeight="1" thickBot="1" x14ac:dyDescent="0.25">
      <c r="B35" s="86"/>
      <c r="C35" s="87"/>
      <c r="D35" s="87"/>
      <c r="E35" s="87"/>
      <c r="F35" s="87"/>
      <c r="G35" s="87"/>
      <c r="H35" s="87"/>
      <c r="I35" s="87"/>
      <c r="J35" s="87"/>
    </row>
    <row r="36" spans="2:11" ht="38.25" customHeight="1" thickBot="1" x14ac:dyDescent="0.25">
      <c r="B36" s="237" t="s">
        <v>154</v>
      </c>
      <c r="C36" s="52" t="s">
        <v>155</v>
      </c>
      <c r="D36" s="53">
        <v>254</v>
      </c>
      <c r="F36" s="240" t="s">
        <v>156</v>
      </c>
      <c r="G36" s="242" t="s">
        <v>157</v>
      </c>
      <c r="H36" s="243"/>
      <c r="I36" s="243"/>
      <c r="J36" s="244"/>
    </row>
    <row r="37" spans="2:11" ht="19.5" customHeight="1" x14ac:dyDescent="0.2">
      <c r="B37" s="238"/>
      <c r="C37" s="55" t="s">
        <v>158</v>
      </c>
      <c r="D37" s="56">
        <v>203</v>
      </c>
      <c r="F37" s="241"/>
      <c r="G37" s="245" t="s">
        <v>159</v>
      </c>
      <c r="H37" s="246"/>
      <c r="I37" s="247"/>
      <c r="J37" s="53">
        <v>265</v>
      </c>
    </row>
    <row r="38" spans="2:11" ht="19.5" customHeight="1" thickBot="1" x14ac:dyDescent="0.25">
      <c r="B38" s="239"/>
      <c r="C38" s="57" t="s">
        <v>160</v>
      </c>
      <c r="D38" s="58">
        <v>16</v>
      </c>
      <c r="F38" s="241"/>
      <c r="G38" s="248" t="s">
        <v>161</v>
      </c>
      <c r="H38" s="249"/>
      <c r="I38" s="250"/>
      <c r="J38" s="63">
        <v>420</v>
      </c>
    </row>
    <row r="39" spans="2:11" ht="19.5" customHeight="1" x14ac:dyDescent="0.2">
      <c r="B39" s="251" t="s">
        <v>48</v>
      </c>
      <c r="C39" s="52" t="s">
        <v>162</v>
      </c>
      <c r="D39" s="53">
        <v>1050</v>
      </c>
      <c r="F39" s="241"/>
      <c r="G39" s="248" t="s">
        <v>163</v>
      </c>
      <c r="H39" s="249"/>
      <c r="I39" s="250"/>
      <c r="J39" s="56">
        <v>580</v>
      </c>
    </row>
    <row r="40" spans="2:11" ht="19.5" customHeight="1" thickBot="1" x14ac:dyDescent="0.25">
      <c r="B40" s="252"/>
      <c r="C40" s="57" t="s">
        <v>164</v>
      </c>
      <c r="D40" s="58">
        <v>70</v>
      </c>
      <c r="F40" s="241"/>
      <c r="G40" s="253" t="s">
        <v>165</v>
      </c>
      <c r="H40" s="254"/>
      <c r="I40" s="255"/>
      <c r="J40" s="58">
        <v>685</v>
      </c>
    </row>
    <row r="41" spans="2:11" ht="18.75" thickBot="1" x14ac:dyDescent="0.25">
      <c r="B41" s="108" t="s">
        <v>166</v>
      </c>
      <c r="C41" s="109" t="s">
        <v>167</v>
      </c>
      <c r="D41" s="90">
        <v>550</v>
      </c>
    </row>
    <row r="42" spans="2:11" ht="17.850000000000001" customHeight="1" thickBot="1" x14ac:dyDescent="0.25">
      <c r="F42" s="229" t="s">
        <v>168</v>
      </c>
      <c r="G42" s="88" t="s">
        <v>169</v>
      </c>
      <c r="H42" s="112"/>
      <c r="I42" s="231" t="s">
        <v>170</v>
      </c>
      <c r="J42" s="232"/>
      <c r="K42" s="110"/>
    </row>
    <row r="43" spans="2:11" ht="38.25" customHeight="1" thickBot="1" x14ac:dyDescent="0.25">
      <c r="B43" s="89" t="s">
        <v>36</v>
      </c>
      <c r="C43" s="109" t="s">
        <v>171</v>
      </c>
      <c r="D43" s="90">
        <v>600</v>
      </c>
      <c r="F43" s="230"/>
      <c r="G43" s="114" t="s">
        <v>172</v>
      </c>
      <c r="H43" s="113"/>
      <c r="I43" s="233"/>
      <c r="J43" s="234"/>
      <c r="K43" s="110"/>
    </row>
    <row r="44" spans="2:11" ht="16.5" customHeight="1" x14ac:dyDescent="0.2">
      <c r="J44" s="111"/>
    </row>
    <row r="47" spans="2:11" ht="15" customHeight="1" x14ac:dyDescent="0.2"/>
  </sheetData>
  <sheetProtection algorithmName="SHA-512" hashValue="LMqX4iwUtZf6CA+i5hU/+3016VTFgYmmsphfW7ma0gNTDDQ//MLsLvm/kDWM7LU3/g3q+qxK5qe2V+8Gwnso+g==" saltValue="jWL/gkE/vmcCcp97vDd10g==" spinCount="100000" sheet="1" objects="1" scenarios="1"/>
  <mergeCells count="32">
    <mergeCell ref="B24:B25"/>
    <mergeCell ref="C24:C25"/>
    <mergeCell ref="D24:D25"/>
    <mergeCell ref="G25:J25"/>
    <mergeCell ref="C2:H2"/>
    <mergeCell ref="B6:J6"/>
    <mergeCell ref="B9:J9"/>
    <mergeCell ref="B10:F10"/>
    <mergeCell ref="C11:F11"/>
    <mergeCell ref="B12:B17"/>
    <mergeCell ref="C12:F12"/>
    <mergeCell ref="C13:F13"/>
    <mergeCell ref="C14:F14"/>
    <mergeCell ref="C15:F15"/>
    <mergeCell ref="C16:F16"/>
    <mergeCell ref="C17:F17"/>
    <mergeCell ref="B20:D20"/>
    <mergeCell ref="F20:J20"/>
    <mergeCell ref="B21:B23"/>
    <mergeCell ref="G40:I40"/>
    <mergeCell ref="F42:F43"/>
    <mergeCell ref="I42:J43"/>
    <mergeCell ref="B26:B29"/>
    <mergeCell ref="F26:J27"/>
    <mergeCell ref="B34:J34"/>
    <mergeCell ref="B36:B38"/>
    <mergeCell ref="F36:F40"/>
    <mergeCell ref="G36:J36"/>
    <mergeCell ref="G37:I37"/>
    <mergeCell ref="G38:I38"/>
    <mergeCell ref="B39:B40"/>
    <mergeCell ref="G39:I39"/>
  </mergeCells>
  <pageMargins left="0.25" right="0.25" top="0.75" bottom="0.75" header="0.3" footer="0.3"/>
  <pageSetup paperSize="9" scale="5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8E6CA-1C87-0345-B536-DFEE1845F41D}">
  <sheetPr codeName="Sheet4">
    <tabColor rgb="FFC94A34"/>
    <pageSetUpPr fitToPage="1"/>
  </sheetPr>
  <dimension ref="B4:CL45"/>
  <sheetViews>
    <sheetView showGridLines="0" zoomScaleNormal="100" workbookViewId="0">
      <selection activeCell="D54" sqref="D54"/>
    </sheetView>
  </sheetViews>
  <sheetFormatPr defaultColWidth="10.625" defaultRowHeight="15" x14ac:dyDescent="0.2"/>
  <cols>
    <col min="1" max="1" width="0.671875" customWidth="1"/>
    <col min="2" max="2" width="29.99609375" customWidth="1"/>
    <col min="3" max="3" width="3.62890625" customWidth="1"/>
    <col min="4" max="4" width="1.74609375" customWidth="1"/>
    <col min="5" max="5" width="22.8671875" customWidth="1"/>
    <col min="6" max="6" width="1.61328125" customWidth="1"/>
    <col min="7" max="7" width="48.0234375" customWidth="1"/>
    <col min="8" max="8" width="2.6875" customWidth="1"/>
    <col min="9" max="9" width="22.59765625" customWidth="1"/>
    <col min="10" max="11" width="1.61328125" customWidth="1"/>
    <col min="12" max="12" width="7.12890625" customWidth="1"/>
    <col min="13" max="13" width="1.61328125" customWidth="1"/>
    <col min="14" max="14" width="6.72265625" customWidth="1"/>
    <col min="15" max="15" width="1.61328125" customWidth="1"/>
    <col min="16" max="16" width="11.703125" bestFit="1" customWidth="1"/>
    <col min="17" max="17" width="2.015625" customWidth="1"/>
    <col min="19" max="19" width="3.2265625" customWidth="1"/>
    <col min="20" max="20" width="9.953125" customWidth="1"/>
    <col min="21" max="21" width="1.4765625" customWidth="1"/>
    <col min="22" max="22" width="8.875" customWidth="1"/>
    <col min="23" max="23" width="1.61328125" customWidth="1"/>
    <col min="24" max="24" width="34.30078125" customWidth="1"/>
    <col min="25" max="25" width="1.61328125" customWidth="1"/>
    <col min="26" max="26" width="7.26171875" customWidth="1"/>
    <col min="27" max="27" width="3.2265625" customWidth="1"/>
    <col min="28" max="28" width="19.7734375" bestFit="1" customWidth="1"/>
    <col min="29" max="29" width="1.61328125" customWidth="1"/>
    <col min="30" max="30" width="7.26171875" customWidth="1"/>
    <col min="31" max="31" width="3.359375" customWidth="1"/>
    <col min="32" max="32" width="11.703125" customWidth="1"/>
    <col min="33" max="33" width="1.61328125" customWidth="1"/>
    <col min="34" max="34" width="11.703125" customWidth="1"/>
    <col min="35" max="35" width="1.61328125" customWidth="1"/>
    <col min="36" max="36" width="11.703125" customWidth="1"/>
    <col min="37" max="37" width="1.61328125" customWidth="1"/>
    <col min="38" max="38" width="11.703125" customWidth="1"/>
    <col min="39" max="39" width="1.61328125" customWidth="1"/>
    <col min="40" max="40" width="11.703125" customWidth="1"/>
    <col min="41" max="41" width="1.61328125" customWidth="1"/>
    <col min="42" max="42" width="9.14453125" customWidth="1"/>
    <col min="43" max="43" width="3.2265625" customWidth="1"/>
    <col min="44" max="44" width="23.26953125" customWidth="1"/>
    <col min="45" max="45" width="1.61328125" customWidth="1"/>
    <col min="46" max="46" width="7.53125" customWidth="1"/>
    <col min="47" max="47" width="3.2265625" customWidth="1"/>
    <col min="48" max="48" width="17.21875" customWidth="1"/>
    <col min="49" max="49" width="1.61328125" customWidth="1"/>
    <col min="50" max="50" width="7.53125" customWidth="1"/>
    <col min="51" max="51" width="3.359375" customWidth="1"/>
    <col min="52" max="52" width="10.76171875" customWidth="1"/>
    <col min="53" max="53" width="10.625" customWidth="1"/>
    <col min="54" max="54" width="10.76171875" hidden="1" customWidth="1"/>
    <col min="55" max="55" width="1.61328125" hidden="1" customWidth="1"/>
    <col min="56" max="56" width="24.75" hidden="1" customWidth="1"/>
    <col min="57" max="57" width="1.61328125" hidden="1" customWidth="1"/>
    <col min="58" max="58" width="14.66015625" hidden="1" customWidth="1"/>
    <col min="59" max="59" width="15.33203125" hidden="1" customWidth="1"/>
    <col min="60" max="60" width="14.66015625" hidden="1" customWidth="1"/>
    <col min="61" max="61" width="1.61328125" hidden="1" customWidth="1"/>
    <col min="62" max="62" width="27.7109375" hidden="1" customWidth="1"/>
    <col min="63" max="63" width="1.61328125" hidden="1" customWidth="1"/>
    <col min="64" max="64" width="23.67578125" hidden="1" customWidth="1"/>
    <col min="65" max="65" width="1.61328125" hidden="1" customWidth="1"/>
    <col min="66" max="66" width="19.7734375" hidden="1" customWidth="1"/>
    <col min="67" max="67" width="1.61328125" hidden="1" customWidth="1"/>
    <col min="68" max="68" width="14.390625" hidden="1" customWidth="1"/>
    <col min="69" max="69" width="0.8046875" hidden="1" customWidth="1"/>
    <col min="70" max="70" width="16.0078125" hidden="1" customWidth="1"/>
    <col min="71" max="71" width="0.94140625" hidden="1" customWidth="1"/>
    <col min="72" max="72" width="13.98828125" hidden="1" customWidth="1"/>
    <col min="73" max="73" width="0.8046875" hidden="1" customWidth="1"/>
    <col min="74" max="74" width="16.0078125" hidden="1" customWidth="1"/>
    <col min="75" max="75" width="0.94140625" hidden="1" customWidth="1"/>
    <col min="76" max="76" width="16.0078125" hidden="1" customWidth="1"/>
    <col min="77" max="77" width="0.8046875" hidden="1" customWidth="1"/>
    <col min="78" max="78" width="18.0234375" hidden="1" customWidth="1"/>
    <col min="79" max="79" width="0.94140625" hidden="1" customWidth="1"/>
    <col min="80" max="80" width="13.98828125" hidden="1" customWidth="1"/>
    <col min="81" max="81" width="0.8046875" hidden="1" customWidth="1"/>
    <col min="82" max="82" width="16.0078125" hidden="1" customWidth="1"/>
    <col min="83" max="83" width="0.94140625" hidden="1" customWidth="1"/>
    <col min="84" max="84" width="16.54296875" hidden="1" customWidth="1"/>
    <col min="85" max="85" width="0.8046875" hidden="1" customWidth="1"/>
    <col min="86" max="86" width="18.5625" hidden="1" customWidth="1"/>
    <col min="87" max="87" width="0.94140625" hidden="1" customWidth="1"/>
    <col min="88" max="88" width="13.44921875" hidden="1" customWidth="1"/>
    <col min="89" max="89" width="0.8046875" hidden="1" customWidth="1"/>
    <col min="90" max="90" width="2.015625" hidden="1" customWidth="1"/>
    <col min="91" max="91" width="10.625" customWidth="1"/>
  </cols>
  <sheetData>
    <row r="4" spans="2:90" x14ac:dyDescent="0.2">
      <c r="B4" s="8" t="s">
        <v>452</v>
      </c>
    </row>
    <row r="6" spans="2:90" ht="33" x14ac:dyDescent="0.4">
      <c r="E6" s="125" t="s">
        <v>173</v>
      </c>
    </row>
    <row r="7" spans="2:90" ht="17.25" x14ac:dyDescent="0.25">
      <c r="E7" s="173" t="s">
        <v>61</v>
      </c>
    </row>
    <row r="8" spans="2:90" ht="16.5" x14ac:dyDescent="0.25">
      <c r="E8" s="131" t="s">
        <v>174</v>
      </c>
      <c r="G8" s="174" t="s">
        <v>456</v>
      </c>
    </row>
    <row r="9" spans="2:90" ht="15.75" thickBot="1" x14ac:dyDescent="0.25">
      <c r="E9" s="131"/>
    </row>
    <row r="10" spans="2:90" ht="19.5" thickBot="1" x14ac:dyDescent="0.3">
      <c r="E10" s="150" t="s">
        <v>122</v>
      </c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2"/>
      <c r="S10" s="127"/>
      <c r="T10" s="153"/>
      <c r="U10" s="154"/>
      <c r="V10" s="151" t="s">
        <v>175</v>
      </c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5"/>
    </row>
    <row r="11" spans="2:90" ht="89.25" customHeight="1" x14ac:dyDescent="0.2">
      <c r="E11" s="8" t="s">
        <v>176</v>
      </c>
      <c r="F11" s="8"/>
      <c r="G11" s="8" t="s">
        <v>177</v>
      </c>
      <c r="H11" s="8"/>
      <c r="I11" s="143" t="s">
        <v>459</v>
      </c>
      <c r="J11" s="8"/>
      <c r="K11" s="8"/>
      <c r="L11" s="143" t="s">
        <v>178</v>
      </c>
      <c r="M11" s="143"/>
      <c r="N11" s="143" t="s">
        <v>179</v>
      </c>
      <c r="O11" s="8"/>
      <c r="P11" s="143" t="s">
        <v>180</v>
      </c>
      <c r="Q11" s="8"/>
      <c r="R11" s="149" t="s">
        <v>181</v>
      </c>
      <c r="S11" s="8"/>
      <c r="T11" s="8" t="s">
        <v>182</v>
      </c>
      <c r="U11" s="8"/>
      <c r="V11" s="8"/>
      <c r="X11" s="8" t="s">
        <v>183</v>
      </c>
      <c r="Y11" s="8"/>
      <c r="Z11" s="8"/>
      <c r="AA11" s="8"/>
      <c r="AB11" s="8" t="s">
        <v>184</v>
      </c>
      <c r="AC11" s="8"/>
      <c r="AD11" s="8"/>
      <c r="AE11" s="8"/>
      <c r="AF11" s="8" t="s">
        <v>154</v>
      </c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 t="s">
        <v>185</v>
      </c>
      <c r="AS11" s="8"/>
      <c r="AT11" s="8"/>
      <c r="AU11" s="8"/>
      <c r="AV11" s="143" t="s">
        <v>186</v>
      </c>
      <c r="AW11" s="8"/>
      <c r="AX11" s="8"/>
      <c r="AY11" s="8"/>
      <c r="AZ11" s="149" t="s">
        <v>187</v>
      </c>
      <c r="BG11" t="str" cm="1">
        <f t="array" aca="1" ref="BG11" ca="1">INDIRECT($B$4&amp;"_Tarif_applicable")&amp;"_"&amp;BF14</f>
        <v>TO_</v>
      </c>
    </row>
    <row r="12" spans="2:90" x14ac:dyDescent="0.2">
      <c r="E12" s="8"/>
      <c r="F12" s="8"/>
      <c r="G12" s="8"/>
      <c r="H12" s="8"/>
      <c r="I12" s="143"/>
      <c r="J12" s="143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 t="s">
        <v>188</v>
      </c>
      <c r="AS12" s="8"/>
      <c r="AT12" s="8"/>
      <c r="AU12" s="8"/>
      <c r="AV12" s="8"/>
      <c r="AW12" s="8"/>
      <c r="AX12" s="8"/>
      <c r="AY12" s="8"/>
      <c r="AZ12" s="8"/>
      <c r="BD12" s="122" t="s">
        <v>78</v>
      </c>
      <c r="BF12" s="122" t="s">
        <v>79</v>
      </c>
      <c r="BG12" s="122" t="s">
        <v>80</v>
      </c>
      <c r="BH12" s="122" t="s">
        <v>79</v>
      </c>
      <c r="BJ12" s="124" t="s">
        <v>81</v>
      </c>
      <c r="BL12" s="124" t="s">
        <v>82</v>
      </c>
      <c r="BN12" s="124" t="s">
        <v>83</v>
      </c>
      <c r="BP12" s="124" t="s">
        <v>84</v>
      </c>
      <c r="BR12" s="124" t="s">
        <v>85</v>
      </c>
      <c r="BT12" s="124" t="s">
        <v>86</v>
      </c>
      <c r="BV12" s="124" t="s">
        <v>87</v>
      </c>
      <c r="BX12" s="124" t="s">
        <v>88</v>
      </c>
      <c r="BZ12" s="124" t="s">
        <v>89</v>
      </c>
      <c r="CB12" s="124" t="s">
        <v>90</v>
      </c>
      <c r="CD12" s="124" t="s">
        <v>91</v>
      </c>
      <c r="CF12" s="124" t="s">
        <v>92</v>
      </c>
      <c r="CH12" s="124" t="s">
        <v>93</v>
      </c>
      <c r="CJ12" s="124" t="s">
        <v>94</v>
      </c>
      <c r="CL12" s="124" t="s">
        <v>95</v>
      </c>
    </row>
    <row r="13" spans="2:90" x14ac:dyDescent="0.2">
      <c r="E13" s="8"/>
      <c r="F13" s="8"/>
      <c r="G13" s="8"/>
      <c r="H13" s="8"/>
      <c r="I13" s="143"/>
      <c r="J13" s="143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 t="s">
        <v>189</v>
      </c>
      <c r="Y13" s="8"/>
      <c r="Z13" s="8"/>
      <c r="AA13" s="8"/>
      <c r="AB13" s="8" t="s">
        <v>190</v>
      </c>
      <c r="AC13" s="8"/>
      <c r="AD13" s="8"/>
      <c r="AE13" s="8"/>
      <c r="AF13" s="8" t="s">
        <v>191</v>
      </c>
      <c r="AG13" s="8"/>
      <c r="AH13" s="8" t="s">
        <v>192</v>
      </c>
      <c r="AI13" s="8"/>
      <c r="AJ13" s="8" t="s">
        <v>193</v>
      </c>
      <c r="AK13" s="8"/>
      <c r="AL13" s="8" t="s">
        <v>194</v>
      </c>
      <c r="AM13" s="8"/>
      <c r="AN13" s="8" t="s">
        <v>195</v>
      </c>
      <c r="AO13" s="8"/>
      <c r="AP13" s="8"/>
      <c r="AQ13" s="8"/>
      <c r="AR13" s="8" t="s">
        <v>196</v>
      </c>
      <c r="AS13" s="8"/>
      <c r="AT13" s="8"/>
      <c r="AU13" s="8"/>
      <c r="AV13" s="8"/>
      <c r="AW13" s="8"/>
      <c r="AX13" s="8"/>
      <c r="AY13" s="8"/>
      <c r="AZ13" s="8"/>
    </row>
    <row r="14" spans="2:90" ht="16.5" x14ac:dyDescent="0.25">
      <c r="B14" s="128" t="s">
        <v>197</v>
      </c>
      <c r="E14" s="129"/>
      <c r="G14" s="129"/>
      <c r="I14" s="130"/>
      <c r="J14" s="121"/>
      <c r="L14" s="136">
        <f ca="1">IF($BD14="PremInscription", T_Droits_d_entrée,0)</f>
        <v>0</v>
      </c>
      <c r="M14" s="137"/>
      <c r="N14" s="136" cm="1">
        <f t="array" aca="1" ref="N14" ca="1">_xlfn.IFS($BD14="", 0, OR($BD14="PremInscription", $BD14="RéinscriptionAprèsDépart"), T_Frais_de_Dossier,$BD14="Réinscription",T_Frais_de_réinscription)</f>
        <v>0</v>
      </c>
      <c r="O14" s="137"/>
      <c r="P14" s="138">
        <f ca="1">SUM(L14:N14)</f>
        <v>0</v>
      </c>
      <c r="Q14" s="137"/>
      <c r="R14" s="138" cm="1">
        <f t="array" aca="1" ref="R14" ca="1">IFERROR(
    ROUNDUP(
        IF(
            AND(LEFT(BH14,2)&lt;&gt;"TO",I14&gt;=6,BD14&lt;&gt;"RéinscriptionAprèsDépart"),
                (1+T_Prime_Fidélité),1)*INDIRECT(BH14)+INDIRECT("T_Livres_"&amp;BF14),
                0
        ),
    0
)</f>
        <v>0</v>
      </c>
      <c r="S14" s="137"/>
      <c r="T14" s="139"/>
      <c r="U14" s="137"/>
      <c r="V14" s="136" cm="1">
        <f t="array" aca="1" ref="V14" ca="1">IFERROR(
    IF(
        OR($E14=FR_Lycée, $E14=EN_Lycée, $E14=DE_Lycée),
            0,
            IF(T14=INDIRECT($B$4&amp;"_Oui"), 2*T_Navette_1Sem,0)
    ),
    0
)</f>
        <v>0</v>
      </c>
      <c r="W14" s="137"/>
      <c r="X14" s="140"/>
      <c r="Y14" s="137"/>
      <c r="Z14" s="136" cm="1">
        <f t="array" aca="1" ref="Z14" ca="1">IFERROR(IF(BL14="EXT",0,INDIRECT("T_Cantine_"&amp;BF14&amp;"_"&amp;BL14)),0)</f>
        <v>0</v>
      </c>
      <c r="AB14" s="129"/>
      <c r="AD14" s="136" cm="1">
        <f t="array" aca="1" ref="AD14" ca="1">IFERROR(
    IF(
        OR($E14=FR_Maternelle, $E14=EN_Maternelle, $E14=DE_Maternelle, $E14=FR_Collège, $E14=EN_Collège, $E14=DE_Collège, $E14=FR_Lycée, $E14=EN_Lycée, $E14=DE_Lycée),
            0,
            2*INDIRECT("T_Étude_dirigée_"&amp;BN14)
    ),
    0
)</f>
        <v>0</v>
      </c>
      <c r="AF14" s="130"/>
      <c r="AH14" s="130"/>
      <c r="AJ14" s="130"/>
      <c r="AL14" s="130"/>
      <c r="AN14" s="130"/>
      <c r="AP14" s="136">
        <f>IFERROR(
    IF(
        OR($E14=FR_Collège, $E14=EN_Collège, $E14=DE_Collège, $E14=FR_Lycée, $E14=EN_Lycée, $E14=DE_Lycée),
            0,
            2*CJ14*T_Garderie_1Sem_1h00 + 2*CL14*T_Garderie_1Sem_1h15
    ),
    0
)</f>
        <v>0</v>
      </c>
      <c r="AR14" s="130"/>
      <c r="AT14" s="136">
        <f>IFERROR(
    IF(
        OR($E14=FR_Collège, $E14=EN_Collège, $E14=DE_Collège, $E14=FR_Lycée, $E14=EN_Lycée, $E14=DE_Lycée),
            0,
           2* AR14*VALUE(MID(T_HTS,SEARCH(" ", T_HTS)+1,3))+N("Extraction de la valeur min dans le tarif HTS formulé 'entre X et Y CHF'")
    ),
    0
)</f>
        <v>0</v>
      </c>
      <c r="AV14" s="129"/>
      <c r="AX14" s="136" cm="1">
        <f t="array" aca="1" ref="AX14" ca="1">IFERROR(
    IF(
        OR($E14=FR_Collège, $E14=EN_Collège, $E14=DE_Collège, $E14=FR_Lycée, $E14=EN_Lycée, $E14=DE_Lycée),
            0,
            IF(
                    AV14&lt;&gt;INDIRECT($B$4&amp;"_Oui"),
                    0,
                    2*T_Mercredis_récréatifs
            )
    ),
    0
)</f>
        <v>0</v>
      </c>
      <c r="AZ14" s="138">
        <f ca="1">SUM(P14,R14,V14,Z14,AD14,AP14,AT14,AX14)</f>
        <v>0</v>
      </c>
      <c r="BD14" s="122" t="str">
        <f ca="1">IFERROR(VLOOKUP(G14,INDIRECT($B$4&amp;"_Inscription_Lookup"),2,FALSE),"")</f>
        <v/>
      </c>
      <c r="BF14" s="122" t="str">
        <f ca="1">IFERROR(VLOOKUP(E14,INDIRECT($B$4&amp;"_Niveaux_Lookup"),2,FALSE),"")</f>
        <v/>
      </c>
      <c r="BG14" s="122" t="str" cm="1">
        <f t="array" aca="1" ref="BG14" ca="1">IF(E14="","",INDIRECT($B$4&amp;"_Tarif_applicable")&amp;"_"&amp;BF14)</f>
        <v/>
      </c>
      <c r="BH14" s="122" t="str" cm="1">
        <f t="array" aca="1" ref="BH14" ca="1">IFERROR(
    IF(
        LEFT(BG14,2)="TO", BG14,
        _xlfn.IFS(
            AND(LEFT(BG14,5)="TR123",INDIRECT($B$4&amp;"_Nombre_Enfants_à_scolariser")=1), "TR1_"&amp;TEXT(BF14,""),
            AND(LEFT(BG14,5)="TR123",INDIRECT($B$4&amp;"_Nombre_Enfants_à_scolariser")=2), "TR2_"&amp;TEXT(BF14,""),
            AND(LEFT(BG14,5)="TR123",INDIRECT($B$4&amp;"_Nombre_Enfants_à_scolariser")&gt;=3), "TR3_"&amp;TEXT(BF14,""),
            AND(LEFT(BG14,5)="TR456",INDIRECT($B$4&amp;"_Nombre_Enfants_à_scolariser")=1), "TR4_"&amp;TEXT(BF14,""),
            AND(LEFT(BG14,5)="TR456",INDIRECT($B$4&amp;"_Nombre_Enfants_à_scolariser")=2), "TR5_"&amp;TEXT(BF14,""),
            AND(LEFT(BG14,5)="TR456",INDIRECT($B$4&amp;"_Nombre_Enfants_à_scolariser")&gt;=3), "TR6_"&amp;TEXT(BF14,"")
        )
    ),
    ""
)</f>
        <v/>
      </c>
      <c r="BJ14" s="124" t="str" cm="1">
        <f t="array" aca="1" ref="BJ14" ca="1">IFERROR(_xlfn.IFS(
    E14=INDIRECT($B$4&amp;"_Maternelle"),($B$4&amp;"_Régime_Cantine_Maternelle"),
    E14=INDIRECT($B$4&amp;"_Élémentaire"),($B$4&amp;"_Régime_Cantine_Élémentaire"),
    E14=INDIRECT($B$4&amp;"_Collège"),($B$4&amp;"_Régime_Cantine_Collège_Lycée"),
    E14=INDIRECT($B$4&amp;"_Lycée"),($B$4&amp;"_Régime_Cantine_Collège_Lycée")
), "")</f>
        <v/>
      </c>
      <c r="BL14" s="124" t="str">
        <f ca="1">IFERROR(VLOOKUP(X14,INDIRECT($B$4&amp;"_Cantine_Lookup"),2,FALSE),"")</f>
        <v/>
      </c>
      <c r="BN14" s="124" t="str">
        <f ca="1">IFERROR(VLOOKUP(AB14,INDIRECT($B$4&amp;"_Étude_dirigée_Lookup"),2,FALSE),"")</f>
        <v/>
      </c>
      <c r="BP14" s="124">
        <f>IFERROR(VLOOKUP(AF14,Garderie_Lundi_VLOOKUP,2,FALSE),0)</f>
        <v>0</v>
      </c>
      <c r="BR14" s="124">
        <f>IFERROR(VLOOKUP(AF14,Garderie_Lundi_VLOOKUP,3,FALSE),0)</f>
        <v>0</v>
      </c>
      <c r="BT14" s="124">
        <f>IFERROR(VLOOKUP(AH14,Garderie_Mardi_VLOOKUP,2,FALSE),0)</f>
        <v>0</v>
      </c>
      <c r="BV14" s="124">
        <f>IFERROR(VLOOKUP(AH14,Garderie_Mardi_VLOOKUP,3,FALSE),0)</f>
        <v>0</v>
      </c>
      <c r="BX14" s="124">
        <f>IFERROR(VLOOKUP(AJ14,Garderie_Mercredi_VLOOKUP,2,FALSE),0)</f>
        <v>0</v>
      </c>
      <c r="BZ14" s="124">
        <f>IFERROR(VLOOKUP(AJ14,Garderie_Mercredi_VLOOKUP,3,FALSE),0)</f>
        <v>0</v>
      </c>
      <c r="CB14" s="124">
        <f>IFERROR(VLOOKUP(AL14,Garderie_Jeudi_VLOOKUP,2,FALSE),0)</f>
        <v>0</v>
      </c>
      <c r="CD14" s="124">
        <f>IFERROR(VLOOKUP(AL14,Garderie_Jeudi_VLOOKUP,3,FALSE),0)</f>
        <v>0</v>
      </c>
      <c r="CF14" s="124">
        <f>IFERROR(VLOOKUP(AN14,Garderie_Vendredi_VLOOKUP,2,FALSE),0)</f>
        <v>0</v>
      </c>
      <c r="CH14" s="124">
        <f>IFERROR(VLOOKUP(AN14,Garderie_Vendredi_VLOOKUP,3,FALSE),0)</f>
        <v>0</v>
      </c>
      <c r="CJ14" s="124">
        <f>IFERROR(SUM(BP14,BT14,BX14,CB14,CF14),0)</f>
        <v>0</v>
      </c>
      <c r="CL14" s="124">
        <f>IFERROR(SUM(BR14,BV14,BZ14,CD14,CH14),0)</f>
        <v>0</v>
      </c>
    </row>
    <row r="15" spans="2:90" x14ac:dyDescent="0.2">
      <c r="B15" s="128"/>
      <c r="I15" s="8"/>
      <c r="J15" s="121"/>
      <c r="L15" s="137"/>
      <c r="M15" s="137"/>
      <c r="N15" s="137"/>
      <c r="O15" s="137"/>
      <c r="P15" s="137"/>
      <c r="Q15" s="137"/>
      <c r="R15" s="137"/>
      <c r="S15" s="137"/>
      <c r="T15" s="259" t="str" cm="1">
        <f t="array" aca="1" ref="T15" ca="1">IFERROR(
    IF(
        AND(
           T14=INDIRECT($B$4&amp;"_Oui"),
          OR($E14=FR_Lycée,$E14=EN_Lycée,$E14=DE_Lycée)
        ),
        INDIRECT($B$4&amp;"_ERR_Non_proposé_pour_lycée"),
       ""
    ),
    ""
)</f>
        <v/>
      </c>
      <c r="U15" s="259"/>
      <c r="V15" s="259"/>
      <c r="W15" s="137"/>
      <c r="X15" s="137"/>
      <c r="Y15" s="137"/>
      <c r="Z15" s="137"/>
      <c r="AB15" s="257" t="str" cm="1">
        <f t="array" aca="1" ref="AB15" ca="1">IF(
    AND(
         AB14&gt;0,
         OR($E14=FR_Maternelle,$E14=EN_Maternelle,$E14=DE_Maternelle,$E14=FR_Collège,$E14=EN_Collège,$E14=DE_Collège,$E14=FR_Lycée,$E14=EN_Lycée,$E14=DE_Lycée)
    ),
        INDIRECT($B$4&amp;"_ERR_Seulement_pour_élémentaire"),
        ""
)</f>
        <v/>
      </c>
      <c r="AC15" s="257"/>
      <c r="AD15" s="257"/>
      <c r="AM15" s="258" t="str" cm="1">
        <f t="array" aca="1" ref="AM15" ca="1">IF(
    AND(
         OR($AF14&gt;0,$AH14&gt;0,$AJ14&gt;0,$AL14&gt;0,$AN14&gt;0),
         OR($E14=FR_Collège,$E14=EN_Collège,$E14=DE_Collège,$E14=FR_Lycée,$E14=EN_Lycée,$E14=DE_Lycée)
    ),
        INDIRECT($B$4&amp;"_ERR_Non_proposé_pour_secondaire"),
        ""
)</f>
        <v/>
      </c>
      <c r="AN15" s="258"/>
      <c r="AO15" s="258"/>
      <c r="AP15" s="258"/>
      <c r="AR15" s="257" t="str" cm="1">
        <f t="array" aca="1" ref="AR15" ca="1">IF(
    AND(
        AR14&gt;0,
        OR($E14=FR_Collège, $E14=EN_Collège, $E14=DE_Collège, $E14=FR_Lycée, $E14=EN_Lycée, $E14=DE_Lycée)
    ),
     INDIRECT($B$4&amp;"_ERR_Non_proposé_pour_secondaire"),
    ""
)</f>
        <v/>
      </c>
      <c r="AS15" s="257"/>
      <c r="AT15" s="257"/>
      <c r="AV15" s="257" t="str" cm="1">
        <f t="array" aca="1" ref="AV15" ca="1">IFERROR(
    IF(
        AND(
            AV14=INDIRECT($B$4&amp;"_Oui"),
            OR($E14=FR_Collège, $E14=EN_Collège, $E14=DE_Collège, $E14=FR_Lycée, $E14=EN_Lycée, $E14=DE_Lycée)
       ),
         INDIRECT($B$4&amp;"_ERR_Non_proposé_pour_secondaire"),
        ""
    ),
    ""
)</f>
        <v/>
      </c>
      <c r="AW15" s="257"/>
      <c r="AX15" s="257"/>
      <c r="AZ15" s="137"/>
    </row>
    <row r="16" spans="2:90" ht="16.5" x14ac:dyDescent="0.25">
      <c r="B16" s="128" t="s">
        <v>200</v>
      </c>
      <c r="E16" s="129"/>
      <c r="G16" s="129"/>
      <c r="I16" s="130"/>
      <c r="J16" s="121"/>
      <c r="L16" s="136">
        <f ca="1">IF($BD16="PremInscription", T_Droits_d_entrée,0)</f>
        <v>0</v>
      </c>
      <c r="M16" s="137"/>
      <c r="N16" s="136" cm="1">
        <f t="array" aca="1" ref="N16" ca="1">_xlfn.IFS($BD16="", 0, OR($BD16="PremInscription", $BD16="RéinscriptionAprèsDépart"), T_Frais_de_Dossier,$BD16="Réinscription",T_Frais_de_réinscription)</f>
        <v>0</v>
      </c>
      <c r="O16" s="137"/>
      <c r="P16" s="138">
        <f ca="1">SUM(L16:N16)</f>
        <v>0</v>
      </c>
      <c r="Q16" s="137"/>
      <c r="R16" s="138" cm="1">
        <f t="array" aca="1" ref="R16" ca="1">IFERROR(
    ROUNDUP(
        IF(
            AND(LEFT(BH16,2)&lt;&gt;"TO",I16&gt;=6,BD16&lt;&gt;"RéinscriptionAprèsDépart"),
                (1+T_Prime_Fidélité),1)*INDIRECT(BH16)+INDIRECT("T_Livres_"&amp;BF16),
                0
        ),
    0
)</f>
        <v>0</v>
      </c>
      <c r="S16" s="137"/>
      <c r="T16" s="139"/>
      <c r="U16" s="137"/>
      <c r="V16" s="136" cm="1">
        <f t="array" aca="1" ref="V16" ca="1">IFERROR(
    IF(
        OR($E16=FR_Lycée, $E16=EN_Lycée, $E16=DE_Lycée),
            0,
            IF(T16=INDIRECT($B$4&amp;"_Oui"), 2*T_Navette_1Sem,0)
    ),
    0
)</f>
        <v>0</v>
      </c>
      <c r="W16" s="137"/>
      <c r="X16" s="140"/>
      <c r="Y16" s="137"/>
      <c r="Z16" s="136" cm="1">
        <f t="array" aca="1" ref="Z16" ca="1">IFERROR(IF(BL16="EXT",0,INDIRECT("T_Cantine_"&amp;BF16&amp;"_"&amp;BL16)),0)</f>
        <v>0</v>
      </c>
      <c r="AB16" s="129"/>
      <c r="AD16" s="136" cm="1">
        <f t="array" aca="1" ref="AD16" ca="1">IFERROR(
    IF(
        OR($E16=FR_Maternelle, $E16=EN_Maternelle, $E16=DE_Maternelle, $E16=FR_Collège, $E16=EN_Collège, $E16=DE_Collège, $E16=FR_Lycée, $E16=EN_Lycée, $E16=DE_Lycée),
            0,
            2*INDIRECT("T_Étude_dirigée_"&amp;BN16)
    ),
    0
)</f>
        <v>0</v>
      </c>
      <c r="AF16" s="130"/>
      <c r="AH16" s="130"/>
      <c r="AJ16" s="130"/>
      <c r="AL16" s="130"/>
      <c r="AN16" s="130"/>
      <c r="AP16" s="136">
        <f>IFERROR(
    IF(
        OR($E16=FR_Collège, $E16=EN_Collège, $E16=DE_Collège, $E16=FR_Lycée, $E16=EN_Lycée, $E16=DE_Lycée),
            0,
            2*CJ16*T_Garderie_1Sem_1h00 + 2*CL16*T_Garderie_1Sem_1h15
    ),
    0
)</f>
        <v>0</v>
      </c>
      <c r="AR16" s="130"/>
      <c r="AT16" s="136">
        <f>IFERROR(
    IF(
        OR($E16=FR_Collège, $E16=EN_Collège, $E16=DE_Collège, $E16=FR_Lycée, $E16=EN_Lycée, $E16=DE_Lycée),
            0,
           2* AR16*VALUE(MID(T_HTS,SEARCH(" ", T_HTS)+1,3))+N("Extraction de la valeur min dans le tarif HTS formulé 'entre X et Y CHF'")
    ),
    0
)</f>
        <v>0</v>
      </c>
      <c r="AV16" s="129"/>
      <c r="AX16" s="136" cm="1">
        <f t="array" aca="1" ref="AX16" ca="1">IFERROR(
    IF(
        OR($E16=FR_Collège, $E16=EN_Collège, $E16=DE_Collège, $E16=FR_Lycée, $E16=EN_Lycée, $E16=DE_Lycée),
            0,
            IF(
                    AV16&lt;&gt;INDIRECT($B$4&amp;"_Oui"),
                    0,
                    2*T_Mercredis_récréatifs
            )
    ),
    0
)</f>
        <v>0</v>
      </c>
      <c r="AZ16" s="138">
        <f ca="1">SUM(P16,R16,V16,Z16,AD16,AP16,AT16,AX16)</f>
        <v>0</v>
      </c>
      <c r="BD16" s="122" t="str">
        <f ca="1">IFERROR(VLOOKUP(G16,INDIRECT($B$4&amp;"_Inscription_Lookup"),2,FALSE),"")</f>
        <v/>
      </c>
      <c r="BF16" s="122" t="str">
        <f ca="1">IFERROR(VLOOKUP(E16,INDIRECT($B$4&amp;"_Niveaux_Lookup"),2,FALSE),"")</f>
        <v/>
      </c>
      <c r="BG16" s="122" t="str" cm="1">
        <f t="array" aca="1" ref="BG16" ca="1">IF(E16="","",INDIRECT($B$4&amp;"_Tarif_applicable")&amp;"_"&amp;BF16)</f>
        <v/>
      </c>
      <c r="BH16" s="122" t="str" cm="1">
        <f t="array" aca="1" ref="BH16" ca="1">IFERROR(
    IF(
        LEFT(BG16,2)="TO", BG16,
        _xlfn.IFS(
            AND(LEFT(BG16,5)="TR123",INDIRECT($B$4&amp;"_Nombre_Enfants_à_scolariser")=1), "TR1_"&amp;TEXT(BF16,""),
            AND(LEFT(BG16,5)="TR123",INDIRECT($B$4&amp;"_Nombre_Enfants_à_scolariser")=2), "TR2_"&amp;TEXT(BF16,""),
            AND(LEFT(BG16,5)="TR123",INDIRECT($B$4&amp;"_Nombre_Enfants_à_scolariser")&gt;=3), "TR3_"&amp;TEXT(BF16,""),
            AND(LEFT(BG16,5)="TR456",INDIRECT($B$4&amp;"_Nombre_Enfants_à_scolariser")=1), "TR4_"&amp;TEXT(BF16,""),
            AND(LEFT(BG16,5)="TR456",INDIRECT($B$4&amp;"_Nombre_Enfants_à_scolariser")=2), "TR5_"&amp;TEXT(BF16,""),
            AND(LEFT(BG16,5)="TR456",INDIRECT($B$4&amp;"_Nombre_Enfants_à_scolariser")&gt;=3), "TR6_"&amp;TEXT(BF16,"")
        )
    ),
    ""
)</f>
        <v/>
      </c>
      <c r="BJ16" s="124" t="str" cm="1">
        <f t="array" aca="1" ref="BJ16" ca="1">IFERROR(_xlfn.IFS(
    E16=INDIRECT($B$4&amp;"_Maternelle"),($B$4&amp;"_Régime_Cantine_Maternelle"),
    E16=INDIRECT($B$4&amp;"_Élémentaire"),($B$4&amp;"_Régime_Cantine_Élémentaire"),
    E16=INDIRECT($B$4&amp;"_Collège"),($B$4&amp;"_Régime_Cantine_Collège_Lycée"),
    E16=INDIRECT($B$4&amp;"_Lycée"),($B$4&amp;"_Régime_Cantine_Collège_Lycée")
), "")</f>
        <v/>
      </c>
      <c r="BL16" s="124" t="str">
        <f ca="1">IFERROR(VLOOKUP(X16,INDIRECT($B$4&amp;"_Cantine_Lookup"),2,FALSE),"")</f>
        <v/>
      </c>
      <c r="BN16" s="124" t="str">
        <f ca="1">IFERROR(VLOOKUP(AB16,INDIRECT($B$4&amp;"_Étude_dirigée_Lookup"),2,FALSE),"")</f>
        <v/>
      </c>
      <c r="BP16" s="124">
        <f>IFERROR(VLOOKUP(AF16,Garderie_Lundi_VLOOKUP,2,FALSE),0)</f>
        <v>0</v>
      </c>
      <c r="BR16" s="124">
        <f>IFERROR(VLOOKUP(AF16,Garderie_Lundi_VLOOKUP,3,FALSE),0)</f>
        <v>0</v>
      </c>
      <c r="BT16" s="124">
        <f>IFERROR(VLOOKUP(AH16,Garderie_Mardi_VLOOKUP,2,FALSE),0)</f>
        <v>0</v>
      </c>
      <c r="BV16" s="124">
        <f>IFERROR(VLOOKUP(AH16,Garderie_Mardi_VLOOKUP,3,FALSE),0)</f>
        <v>0</v>
      </c>
      <c r="BX16" s="124">
        <f>IFERROR(VLOOKUP(AJ16,Garderie_Mercredi_VLOOKUP,2,FALSE),0)</f>
        <v>0</v>
      </c>
      <c r="BZ16" s="124">
        <f>IFERROR(VLOOKUP(AJ16,Garderie_Mercredi_VLOOKUP,3,FALSE),0)</f>
        <v>0</v>
      </c>
      <c r="CB16" s="124">
        <f>IFERROR(VLOOKUP(AL16,Garderie_Jeudi_VLOOKUP,2,FALSE),0)</f>
        <v>0</v>
      </c>
      <c r="CD16" s="124">
        <f>IFERROR(VLOOKUP(AL16,Garderie_Jeudi_VLOOKUP,3,FALSE),0)</f>
        <v>0</v>
      </c>
      <c r="CF16" s="124">
        <f>IFERROR(VLOOKUP(AN16,Garderie_Vendredi_VLOOKUP,2,FALSE),0)</f>
        <v>0</v>
      </c>
      <c r="CH16" s="124">
        <f>IFERROR(VLOOKUP(AN16,Garderie_Vendredi_VLOOKUP,3,FALSE),0)</f>
        <v>0</v>
      </c>
      <c r="CJ16" s="124">
        <f>IFERROR(SUM(BP16,BT16,BX16,CB16,CF16),0)</f>
        <v>0</v>
      </c>
      <c r="CL16" s="124">
        <f>IFERROR(SUM(BR16,BV16,BZ16,CD16,CH16),0)</f>
        <v>0</v>
      </c>
    </row>
    <row r="17" spans="2:90" x14ac:dyDescent="0.2">
      <c r="B17" s="128"/>
      <c r="I17" s="8"/>
      <c r="J17" s="121"/>
      <c r="L17" s="137"/>
      <c r="M17" s="137"/>
      <c r="N17" s="137"/>
      <c r="O17" s="137"/>
      <c r="P17" s="137"/>
      <c r="Q17" s="137"/>
      <c r="R17" s="137"/>
      <c r="S17" s="137"/>
      <c r="T17" s="259" t="str" cm="1">
        <f t="array" aca="1" ref="T17" ca="1">IFERROR(
    IF(
        AND(
           T16=INDIRECT($B$4&amp;"_Oui"),
          OR($E16=FR_Lycée,$E16=EN_Lycée,$E16=DE_Lycée)
        ),
        INDIRECT($B$4&amp;"_ERR_Non_proposé_pour_lycée"),
       ""
    ),
    ""
)</f>
        <v/>
      </c>
      <c r="U17" s="259"/>
      <c r="V17" s="259"/>
      <c r="W17" s="137"/>
      <c r="X17" s="137"/>
      <c r="Y17" s="137"/>
      <c r="Z17" s="137"/>
      <c r="AB17" s="257" t="str" cm="1">
        <f t="array" aca="1" ref="AB17" ca="1">IF(
    AND(
         AB16&gt;0,
         OR($E16=FR_Maternelle,$E16=EN_Maternelle,$E16=DE_Maternelle,$E16=FR_Collège,$E16=EN_Collège,$E16=DE_Collège,$E16=FR_Lycée,$E16=EN_Lycée,$E16=DE_Lycée)
    ),
        INDIRECT($B$4&amp;"_ERR_Seulement_pour_élémentaire"),
        ""
)</f>
        <v/>
      </c>
      <c r="AC17" s="257"/>
      <c r="AD17" s="257"/>
      <c r="AM17" s="258" t="str" cm="1">
        <f t="array" aca="1" ref="AM17" ca="1">IF(
    AND(
         OR($AF16&gt;0,$AH16&gt;0,$AJ16&gt;0,$AL16&gt;0,$AN16&gt;0),
         OR($E16=FR_Collège,$E16=EN_Collège,$E16=DE_Collège,$E16=FR_Lycée,$E16=EN_Lycée,$E16=DE_Lycée)
    ),
        INDIRECT($B$4&amp;"_ERR_Non_proposé_pour_secondaire"),
        ""
)</f>
        <v/>
      </c>
      <c r="AN17" s="258"/>
      <c r="AO17" s="258"/>
      <c r="AP17" s="258"/>
      <c r="AR17" s="257" t="str" cm="1">
        <f t="array" aca="1" ref="AR17" ca="1">IF(
    AND(
        AR16&gt;0,
        OR($E16=FR_Collège, $E16=EN_Collège, $E16=DE_Collège, $E16=FR_Lycée, $E16=EN_Lycée, $E16=DE_Lycée)
    ),
     INDIRECT($B$4&amp;"_ERR_Non_proposé_pour_secondaire"),
    ""
)</f>
        <v/>
      </c>
      <c r="AS17" s="257"/>
      <c r="AT17" s="257"/>
      <c r="AV17" s="257" t="str" cm="1">
        <f t="array" aca="1" ref="AV17" ca="1">IFERROR(
    IF(
        AND(
            AV16=INDIRECT($B$4&amp;"_Oui"),
            OR($E16=FR_Collège, $E16=EN_Collège, $E16=DE_Collège, $E16=FR_Lycée, $E16=EN_Lycée, $E16=DE_Lycée)
       ),
         INDIRECT($B$4&amp;"_ERR_Non_proposé_pour_secondaire"),
        ""
    ),
    ""
)</f>
        <v/>
      </c>
      <c r="AW17" s="257"/>
      <c r="AX17" s="257"/>
      <c r="AZ17" s="137"/>
    </row>
    <row r="18" spans="2:90" ht="16.5" x14ac:dyDescent="0.25">
      <c r="B18" s="128" t="s">
        <v>201</v>
      </c>
      <c r="E18" s="129"/>
      <c r="G18" s="129"/>
      <c r="I18" s="130"/>
      <c r="J18" s="121"/>
      <c r="L18" s="136">
        <f ca="1">IF($BD18="PremInscription", T_Droits_d_entrée,0)</f>
        <v>0</v>
      </c>
      <c r="M18" s="137"/>
      <c r="N18" s="136" cm="1">
        <f t="array" aca="1" ref="N18" ca="1">_xlfn.IFS($BD18="", 0, OR($BD18="PremInscription", $BD18="RéinscriptionAprèsDépart"), T_Frais_de_Dossier,$BD18="Réinscription",T_Frais_de_réinscription)</f>
        <v>0</v>
      </c>
      <c r="O18" s="137"/>
      <c r="P18" s="138">
        <f ca="1">SUM(L18:N18)</f>
        <v>0</v>
      </c>
      <c r="Q18" s="137"/>
      <c r="R18" s="138" cm="1">
        <f t="array" aca="1" ref="R18" ca="1">IFERROR(
    ROUNDUP(
        IF(
            AND(LEFT(BH18,2)&lt;&gt;"TO",I18&gt;=6,BD18&lt;&gt;"RéinscriptionAprèsDépart"),
                (1+T_Prime_Fidélité),1)*INDIRECT(BH18)+INDIRECT("T_Livres_"&amp;BF18),
                0
        ),
    0
)</f>
        <v>0</v>
      </c>
      <c r="S18" s="137"/>
      <c r="T18" s="139"/>
      <c r="U18" s="137"/>
      <c r="V18" s="136" cm="1">
        <f t="array" aca="1" ref="V18" ca="1">IFERROR(
    IF(
        OR($E18=FR_Lycée, $E18=EN_Lycée, $E18=DE_Lycée),
            0,
            IF(T18=INDIRECT($B$4&amp;"_Oui"), 2*T_Navette_1Sem,0)
    ),
    0
)</f>
        <v>0</v>
      </c>
      <c r="W18" s="137"/>
      <c r="X18" s="140"/>
      <c r="Y18" s="137"/>
      <c r="Z18" s="136" cm="1">
        <f t="array" aca="1" ref="Z18" ca="1">IFERROR(IF(BL18="EXT",0,INDIRECT("T_Cantine_"&amp;BF18&amp;"_"&amp;BL18)),0)</f>
        <v>0</v>
      </c>
      <c r="AB18" s="129"/>
      <c r="AD18" s="136" cm="1">
        <f t="array" aca="1" ref="AD18" ca="1">IFERROR(
    IF(
        OR($E18=FR_Maternelle, $E18=EN_Maternelle, $E18=DE_Maternelle, $E18=FR_Collège, $E18=EN_Collège, $E18=DE_Collège, $E18=FR_Lycée, $E18=EN_Lycée, $E18=DE_Lycée),
            0,
            2*INDIRECT("T_Étude_dirigée_"&amp;BN18)
    ),
    0
)</f>
        <v>0</v>
      </c>
      <c r="AF18" s="130"/>
      <c r="AH18" s="130"/>
      <c r="AJ18" s="130"/>
      <c r="AL18" s="130"/>
      <c r="AN18" s="130"/>
      <c r="AP18" s="136">
        <f>IFERROR(
    IF(
        OR($E18=FR_Collège, $E18=EN_Collège, $E18=DE_Collège, $E18=FR_Lycée, $E18=EN_Lycée, $E18=DE_Lycée),
            0,
            2*CJ18*T_Garderie_1Sem_1h00 + 2*CL18*T_Garderie_1Sem_1h15
    ),
    0
)</f>
        <v>0</v>
      </c>
      <c r="AR18" s="130"/>
      <c r="AT18" s="136">
        <f>IFERROR(
    IF(
        OR($E18=FR_Collège, $E18=EN_Collège, $E18=DE_Collège, $E18=FR_Lycée, $E18=EN_Lycée, $E18=DE_Lycée),
            0,
           2* AR18*VALUE(MID(T_HTS,SEARCH(" ", T_HTS)+1,3))+N("Extraction de la valeur min dans le tarif HTS formulé 'entre X et Y CHF'")
    ),
    0
)</f>
        <v>0</v>
      </c>
      <c r="AV18" s="129"/>
      <c r="AX18" s="136" cm="1">
        <f t="array" aca="1" ref="AX18" ca="1">IFERROR(
    IF(
        OR($E18=FR_Collège, $E18=EN_Collège, $E18=DE_Collège, $E18=FR_Lycée, $E18=EN_Lycée, $E18=DE_Lycée),
            0,
            IF(
                    AV18&lt;&gt;INDIRECT($B$4&amp;"_Oui"),
                    0,
                    2*T_Mercredis_récréatifs
            )
    ),
    0
)</f>
        <v>0</v>
      </c>
      <c r="AZ18" s="138">
        <f ca="1">SUM(P18,R18,V18,Z18,AD18,AP18,AT18,AX18)</f>
        <v>0</v>
      </c>
      <c r="BD18" s="122" t="str">
        <f ca="1">IFERROR(VLOOKUP(G18,INDIRECT($B$4&amp;"_Inscription_Lookup"),2,FALSE),"")</f>
        <v/>
      </c>
      <c r="BF18" s="122" t="str">
        <f ca="1">IFERROR(VLOOKUP(E18,INDIRECT($B$4&amp;"_Niveaux_Lookup"),2,FALSE),"")</f>
        <v/>
      </c>
      <c r="BG18" s="122" t="str" cm="1">
        <f t="array" aca="1" ref="BG18" ca="1">IF(E18="","",INDIRECT($B$4&amp;"_Tarif_applicable")&amp;"_"&amp;BF18)</f>
        <v/>
      </c>
      <c r="BH18" s="122" t="str" cm="1">
        <f t="array" aca="1" ref="BH18" ca="1">IFERROR(
    IF(
        LEFT(BG18,2)="TO", BG18,
        _xlfn.IFS(
            AND(LEFT(BG18,5)="TR123",INDIRECT($B$4&amp;"_Nombre_Enfants_à_scolariser")=1), "TR1_"&amp;TEXT(BF18,""),
            AND(LEFT(BG18,5)="TR123",INDIRECT($B$4&amp;"_Nombre_Enfants_à_scolariser")=2), "TR2_"&amp;TEXT(BF18,""),
            AND(LEFT(BG18,5)="TR123",INDIRECT($B$4&amp;"_Nombre_Enfants_à_scolariser")&gt;=3), "TR3_"&amp;TEXT(BF18,""),
            AND(LEFT(BG18,5)="TR456",INDIRECT($B$4&amp;"_Nombre_Enfants_à_scolariser")=1), "TR4_"&amp;TEXT(BF18,""),
            AND(LEFT(BG18,5)="TR456",INDIRECT($B$4&amp;"_Nombre_Enfants_à_scolariser")=2), "TR5_"&amp;TEXT(BF18,""),
            AND(LEFT(BG18,5)="TR456",INDIRECT($B$4&amp;"_Nombre_Enfants_à_scolariser")&gt;=3), "TR6_"&amp;TEXT(BF18,"")
        )
    ),
    ""
)</f>
        <v/>
      </c>
      <c r="BJ18" s="124" t="str" cm="1">
        <f t="array" aca="1" ref="BJ18" ca="1">IFERROR(_xlfn.IFS(
    E18=INDIRECT($B$4&amp;"_Maternelle"),($B$4&amp;"_Régime_Cantine_Maternelle"),
    E18=INDIRECT($B$4&amp;"_Élémentaire"),($B$4&amp;"_Régime_Cantine_Élémentaire"),
    E18=INDIRECT($B$4&amp;"_Collège"),($B$4&amp;"_Régime_Cantine_Collège_Lycée"),
    E18=INDIRECT($B$4&amp;"_Lycée"),($B$4&amp;"_Régime_Cantine_Collège_Lycée")
), "")</f>
        <v/>
      </c>
      <c r="BL18" s="124" t="str">
        <f ca="1">IFERROR(VLOOKUP(X18,INDIRECT($B$4&amp;"_Cantine_Lookup"),2,FALSE),"")</f>
        <v/>
      </c>
      <c r="BN18" s="124" t="str">
        <f ca="1">IFERROR(VLOOKUP(AB18,INDIRECT($B$4&amp;"_Étude_dirigée_Lookup"),2,FALSE),"")</f>
        <v/>
      </c>
      <c r="BP18" s="124">
        <f>IFERROR(VLOOKUP(AF18,Garderie_Lundi_VLOOKUP,2,FALSE),0)</f>
        <v>0</v>
      </c>
      <c r="BR18" s="124">
        <f>IFERROR(VLOOKUP(AF18,Garderie_Lundi_VLOOKUP,3,FALSE),0)</f>
        <v>0</v>
      </c>
      <c r="BT18" s="124">
        <f>IFERROR(VLOOKUP(AH18,Garderie_Mardi_VLOOKUP,2,FALSE),0)</f>
        <v>0</v>
      </c>
      <c r="BV18" s="124">
        <f>IFERROR(VLOOKUP(AH18,Garderie_Mardi_VLOOKUP,3,FALSE),0)</f>
        <v>0</v>
      </c>
      <c r="BX18" s="124">
        <f>IFERROR(VLOOKUP(AJ18,Garderie_Mercredi_VLOOKUP,2,FALSE),0)</f>
        <v>0</v>
      </c>
      <c r="BZ18" s="124">
        <f>IFERROR(VLOOKUP(AJ18,Garderie_Mercredi_VLOOKUP,3,FALSE),0)</f>
        <v>0</v>
      </c>
      <c r="CB18" s="124">
        <f>IFERROR(VLOOKUP(AL18,Garderie_Jeudi_VLOOKUP,2,FALSE),0)</f>
        <v>0</v>
      </c>
      <c r="CD18" s="124">
        <f>IFERROR(VLOOKUP(AL18,Garderie_Jeudi_VLOOKUP,3,FALSE),0)</f>
        <v>0</v>
      </c>
      <c r="CF18" s="124">
        <f>IFERROR(VLOOKUP(AN18,Garderie_Vendredi_VLOOKUP,2,FALSE),0)</f>
        <v>0</v>
      </c>
      <c r="CH18" s="124">
        <f>IFERROR(VLOOKUP(AN18,Garderie_Vendredi_VLOOKUP,3,FALSE),0)</f>
        <v>0</v>
      </c>
      <c r="CJ18" s="124">
        <f>IFERROR(SUM(BP18,BT18,BX18,CB18,CF18),0)</f>
        <v>0</v>
      </c>
      <c r="CL18" s="124">
        <f>IFERROR(SUM(BR18,BV18,BZ18,CD18,CH18),0)</f>
        <v>0</v>
      </c>
    </row>
    <row r="19" spans="2:90" x14ac:dyDescent="0.2">
      <c r="B19" s="128"/>
      <c r="I19" s="8"/>
      <c r="J19" s="121"/>
      <c r="L19" s="137"/>
      <c r="M19" s="137"/>
      <c r="N19" s="137"/>
      <c r="O19" s="137"/>
      <c r="P19" s="137"/>
      <c r="Q19" s="137"/>
      <c r="R19" s="137"/>
      <c r="S19" s="137"/>
      <c r="T19" s="259" t="str" cm="1">
        <f t="array" aca="1" ref="T19" ca="1">IFERROR(
    IF(
        AND(
           T18=INDIRECT($B$4&amp;"_Oui"),
          OR($E18=FR_Lycée,$E18=EN_Lycée,$E18=DE_Lycée)
        ),
        INDIRECT($B$4&amp;"_ERR_Non_proposé_pour_lycée"),
       ""
    ),
    ""
)</f>
        <v/>
      </c>
      <c r="U19" s="259"/>
      <c r="V19" s="259"/>
      <c r="W19" s="137"/>
      <c r="X19" s="137"/>
      <c r="Y19" s="137"/>
      <c r="Z19" s="137"/>
      <c r="AB19" s="257" t="str" cm="1">
        <f t="array" aca="1" ref="AB19" ca="1">IF(
    AND(
         AB18&gt;0,
         OR($E18=FR_Maternelle,$E18=EN_Maternelle,$E18=DE_Maternelle,$E18=FR_Collège,$E18=EN_Collège,$E18=DE_Collège,$E18=FR_Lycée,$E18=EN_Lycée,$E18=DE_Lycée)
    ),
        INDIRECT($B$4&amp;"_ERR_Seulement_pour_élémentaire"),
        ""
)</f>
        <v/>
      </c>
      <c r="AC19" s="257"/>
      <c r="AD19" s="257"/>
      <c r="AM19" s="258" t="str" cm="1">
        <f t="array" aca="1" ref="AM19" ca="1">IF(
    AND(
         OR($AF18&gt;0,$AH18&gt;0,$AJ18&gt;0,$AL18&gt;0,$AN18&gt;0),
         OR($E18=FR_Collège,$E18=EN_Collège,$E18=DE_Collège,$E18=FR_Lycée,$E18=EN_Lycée,$E18=DE_Lycée)
    ),
        INDIRECT($B$4&amp;"_ERR_Non_proposé_pour_secondaire"),
        ""
)</f>
        <v/>
      </c>
      <c r="AN19" s="258"/>
      <c r="AO19" s="258"/>
      <c r="AP19" s="258"/>
      <c r="AR19" s="257" t="str" cm="1">
        <f t="array" aca="1" ref="AR19" ca="1">IF(
    AND(
        AR18&gt;0,
        OR($E18=FR_Collège, $E18=EN_Collège, $E18=DE_Collège, $E18=FR_Lycée, $E18=EN_Lycée, $E18=DE_Lycée)
    ),
     INDIRECT($B$4&amp;"_ERR_Non_proposé_pour_secondaire"),
    ""
)</f>
        <v/>
      </c>
      <c r="AS19" s="257"/>
      <c r="AT19" s="257"/>
      <c r="AV19" s="257" t="str" cm="1">
        <f t="array" aca="1" ref="AV19" ca="1">IFERROR(
    IF(
        AND(
            AV18=INDIRECT($B$4&amp;"_Oui"),
            OR($E18=FR_Collège, $E18=EN_Collège, $E18=DE_Collège, $E18=FR_Lycée, $E18=EN_Lycée, $E18=DE_Lycée)
       ),
         INDIRECT($B$4&amp;"_ERR_Non_proposé_pour_secondaire"),
        ""
    ),
    ""
)</f>
        <v/>
      </c>
      <c r="AW19" s="257"/>
      <c r="AX19" s="257"/>
      <c r="AZ19" s="137"/>
    </row>
    <row r="20" spans="2:90" ht="16.5" x14ac:dyDescent="0.25">
      <c r="B20" s="128" t="s">
        <v>202</v>
      </c>
      <c r="E20" s="129"/>
      <c r="G20" s="129"/>
      <c r="I20" s="130"/>
      <c r="J20" s="121"/>
      <c r="L20" s="136">
        <f ca="1">IF($BD20="PremInscription", T_Droits_d_entrée,0)</f>
        <v>0</v>
      </c>
      <c r="M20" s="137"/>
      <c r="N20" s="136" cm="1">
        <f t="array" aca="1" ref="N20" ca="1">_xlfn.IFS($BD20="", 0, OR($BD20="PremInscription", $BD20="RéinscriptionAprèsDépart"), T_Frais_de_Dossier,$BD20="Réinscription",T_Frais_de_réinscription)</f>
        <v>0</v>
      </c>
      <c r="O20" s="137"/>
      <c r="P20" s="138">
        <f ca="1">SUM(L20:N20)</f>
        <v>0</v>
      </c>
      <c r="Q20" s="137"/>
      <c r="R20" s="138" cm="1">
        <f t="array" aca="1" ref="R20" ca="1">IFERROR(
    ROUNDUP(
        IF(
            AND(LEFT(BH20,2)&lt;&gt;"TO",I20&gt;=6,BD20&lt;&gt;"RéinscriptionAprèsDépart"),
                (1+T_Prime_Fidélité),1)*INDIRECT(BH20)+INDIRECT("T_Livres_"&amp;BF20),
                0
        ),
    0
)</f>
        <v>0</v>
      </c>
      <c r="S20" s="137"/>
      <c r="T20" s="139"/>
      <c r="U20" s="137"/>
      <c r="V20" s="136" cm="1">
        <f t="array" aca="1" ref="V20" ca="1">IFERROR(
    IF(
        OR($E20=FR_Lycée, $E20=EN_Lycée, $E20=DE_Lycée),
            0,
            IF(T20=INDIRECT($B$4&amp;"_Oui"), 2*T_Navette_1Sem,0)
    ),
    0
)</f>
        <v>0</v>
      </c>
      <c r="W20" s="137"/>
      <c r="X20" s="140"/>
      <c r="Y20" s="137"/>
      <c r="Z20" s="136" cm="1">
        <f t="array" aca="1" ref="Z20" ca="1">IFERROR(IF(BL20="EXT",0,INDIRECT("T_Cantine_"&amp;BF20&amp;"_"&amp;BL20)),0)</f>
        <v>0</v>
      </c>
      <c r="AB20" s="129"/>
      <c r="AD20" s="136" cm="1">
        <f t="array" aca="1" ref="AD20" ca="1">IFERROR(
    IF(
        OR($E20=FR_Maternelle, $E20=EN_Maternelle, $E20=DE_Maternelle, $E20=FR_Collège, $E20=EN_Collège, $E20=DE_Collège, $E20=FR_Lycée, $E20=EN_Lycée, $E20=DE_Lycée),
            0,
            2*INDIRECT("T_Étude_dirigée_"&amp;BN20)
    ),
    0
)</f>
        <v>0</v>
      </c>
      <c r="AF20" s="130"/>
      <c r="AH20" s="130"/>
      <c r="AJ20" s="130"/>
      <c r="AL20" s="130"/>
      <c r="AN20" s="130"/>
      <c r="AP20" s="136">
        <f>IFERROR(
    IF(
        OR($E20=FR_Collège, $E20=EN_Collège, $E20=DE_Collège, $E20=FR_Lycée, $E20=EN_Lycée, $E20=DE_Lycée),
            0,
            2*CJ20*T_Garderie_1Sem_1h00 + 2*CL20*T_Garderie_1Sem_1h15
    ),
    0
)</f>
        <v>0</v>
      </c>
      <c r="AR20" s="130"/>
      <c r="AT20" s="136">
        <f>IFERROR(
    IF(
        OR($E20=FR_Collège, $E20=EN_Collège, $E20=DE_Collège, $E20=FR_Lycée, $E20=EN_Lycée, $E20=DE_Lycée),
            0,
           2* AR20*VALUE(MID(T_HTS,SEARCH(" ", T_HTS)+1,3))+N("Extraction de la valeur min dans le tarif HTS formulé 'entre X et Y CHF'")
    ),
    0
)</f>
        <v>0</v>
      </c>
      <c r="AV20" s="129"/>
      <c r="AX20" s="136" cm="1">
        <f t="array" aca="1" ref="AX20" ca="1">IFERROR(
    IF(
        OR($E20=FR_Collège, $E20=EN_Collège, $E20=DE_Collège, $E20=FR_Lycée, $E20=EN_Lycée, $E20=DE_Lycée),
            0,
            IF(
                    AV20&lt;&gt;INDIRECT($B$4&amp;"_Oui"),
                    0,
                    2*T_Mercredis_récréatifs
            )
    ),
    0
)</f>
        <v>0</v>
      </c>
      <c r="AZ20" s="138">
        <f ca="1">SUM(P20,R20,V20,Z20,AD20,AP20,AT20,AX20)</f>
        <v>0</v>
      </c>
      <c r="BD20" s="122" t="str">
        <f ca="1">IFERROR(VLOOKUP(G20,INDIRECT($B$4&amp;"_Inscription_Lookup"),2,FALSE),"")</f>
        <v/>
      </c>
      <c r="BF20" s="122" t="str">
        <f ca="1">IFERROR(VLOOKUP(E20,INDIRECT($B$4&amp;"_Niveaux_Lookup"),2,FALSE),"")</f>
        <v/>
      </c>
      <c r="BG20" s="122" t="str" cm="1">
        <f t="array" aca="1" ref="BG20" ca="1">IF(E20="","",INDIRECT($B$4&amp;"_Tarif_applicable")&amp;"_"&amp;BF20)</f>
        <v/>
      </c>
      <c r="BH20" s="122" t="str" cm="1">
        <f t="array" aca="1" ref="BH20" ca="1">IFERROR(
    IF(
        LEFT(BG20,2)="TO", BG20,
        _xlfn.IFS(
            AND(LEFT(BG20,5)="TR123",INDIRECT($B$4&amp;"_Nombre_Enfants_à_scolariser")=1), "TR1_"&amp;TEXT(BF20,""),
            AND(LEFT(BG20,5)="TR123",INDIRECT($B$4&amp;"_Nombre_Enfants_à_scolariser")=2), "TR2_"&amp;TEXT(BF20,""),
            AND(LEFT(BG20,5)="TR123",INDIRECT($B$4&amp;"_Nombre_Enfants_à_scolariser")&gt;=3), "TR3_"&amp;TEXT(BF20,""),
            AND(LEFT(BG20,5)="TR456",INDIRECT($B$4&amp;"_Nombre_Enfants_à_scolariser")=1), "TR4_"&amp;TEXT(BF20,""),
            AND(LEFT(BG20,5)="TR456",INDIRECT($B$4&amp;"_Nombre_Enfants_à_scolariser")=2), "TR5_"&amp;TEXT(BF20,""),
            AND(LEFT(BG20,5)="TR456",INDIRECT($B$4&amp;"_Nombre_Enfants_à_scolariser")&gt;=3), "TR6_"&amp;TEXT(BF20,"")
        )
    ),
    ""
)</f>
        <v/>
      </c>
      <c r="BJ20" s="124" t="str" cm="1">
        <f t="array" aca="1" ref="BJ20" ca="1">IFERROR(_xlfn.IFS(
    E20=INDIRECT($B$4&amp;"_Maternelle"),($B$4&amp;"_Régime_Cantine_Maternelle"),
    E20=INDIRECT($B$4&amp;"_Élémentaire"),($B$4&amp;"_Régime_Cantine_Élémentaire"),
    E20=INDIRECT($B$4&amp;"_Collège"),($B$4&amp;"_Régime_Cantine_Collège_Lycée"),
    E20=INDIRECT($B$4&amp;"_Lycée"),($B$4&amp;"_Régime_Cantine_Collège_Lycée")
), "")</f>
        <v/>
      </c>
      <c r="BL20" s="124" t="str">
        <f ca="1">IFERROR(VLOOKUP(X20,INDIRECT($B$4&amp;"_Cantine_Lookup"),2,FALSE),"")</f>
        <v/>
      </c>
      <c r="BN20" s="124" t="str">
        <f ca="1">IFERROR(VLOOKUP(AB20,INDIRECT($B$4&amp;"_Étude_dirigée_Lookup"),2,FALSE),"")</f>
        <v/>
      </c>
      <c r="BP20" s="124">
        <f>IFERROR(VLOOKUP(AF20,Garderie_Lundi_VLOOKUP,2,FALSE),0)</f>
        <v>0</v>
      </c>
      <c r="BR20" s="124">
        <f>IFERROR(VLOOKUP(AF20,Garderie_Lundi_VLOOKUP,3,FALSE),0)</f>
        <v>0</v>
      </c>
      <c r="BT20" s="124">
        <f>IFERROR(VLOOKUP(AH20,Garderie_Mardi_VLOOKUP,2,FALSE),0)</f>
        <v>0</v>
      </c>
      <c r="BV20" s="124">
        <f>IFERROR(VLOOKUP(AH20,Garderie_Mardi_VLOOKUP,3,FALSE),0)</f>
        <v>0</v>
      </c>
      <c r="BX20" s="124">
        <f>IFERROR(VLOOKUP(AJ20,Garderie_Mercredi_VLOOKUP,2,FALSE),0)</f>
        <v>0</v>
      </c>
      <c r="BZ20" s="124">
        <f>IFERROR(VLOOKUP(AJ20,Garderie_Mercredi_VLOOKUP,3,FALSE),0)</f>
        <v>0</v>
      </c>
      <c r="CB20" s="124">
        <f>IFERROR(VLOOKUP(AL20,Garderie_Jeudi_VLOOKUP,2,FALSE),0)</f>
        <v>0</v>
      </c>
      <c r="CD20" s="124">
        <f>IFERROR(VLOOKUP(AL20,Garderie_Jeudi_VLOOKUP,3,FALSE),0)</f>
        <v>0</v>
      </c>
      <c r="CF20" s="124">
        <f>IFERROR(VLOOKUP(AN20,Garderie_Vendredi_VLOOKUP,2,FALSE),0)</f>
        <v>0</v>
      </c>
      <c r="CH20" s="124">
        <f>IFERROR(VLOOKUP(AN20,Garderie_Vendredi_VLOOKUP,3,FALSE),0)</f>
        <v>0</v>
      </c>
      <c r="CJ20" s="124">
        <f>IFERROR(SUM(BP20,BT20,BX20,CB20,CF20),0)</f>
        <v>0</v>
      </c>
      <c r="CL20" s="124">
        <f>IFERROR(SUM(BR20,BV20,BZ20,CD20,CH20),0)</f>
        <v>0</v>
      </c>
    </row>
    <row r="21" spans="2:90" x14ac:dyDescent="0.2">
      <c r="B21" s="128"/>
      <c r="I21" s="8"/>
      <c r="J21" s="121"/>
      <c r="L21" s="137"/>
      <c r="M21" s="137"/>
      <c r="N21" s="137"/>
      <c r="O21" s="137"/>
      <c r="P21" s="137"/>
      <c r="Q21" s="137"/>
      <c r="R21" s="137"/>
      <c r="S21" s="137"/>
      <c r="T21" s="259" t="str" cm="1">
        <f t="array" aca="1" ref="T21" ca="1">IFERROR(
    IF(
        AND(
           T20=INDIRECT($B$4&amp;"_Oui"),
          OR($E20=FR_Lycée,$E20=EN_Lycée,$E20=DE_Lycée)
        ),
        INDIRECT($B$4&amp;"_ERR_Non_proposé_pour_lycée"),
       ""
    ),
    ""
)</f>
        <v/>
      </c>
      <c r="U21" s="259"/>
      <c r="V21" s="259"/>
      <c r="W21" s="137"/>
      <c r="X21" s="137"/>
      <c r="Y21" s="137"/>
      <c r="Z21" s="137"/>
      <c r="AB21" s="257" t="str" cm="1">
        <f t="array" aca="1" ref="AB21" ca="1">IF(
    AND(
         AB20&gt;0,
         OR($E20=FR_Maternelle,$E20=EN_Maternelle,$E20=DE_Maternelle,$E20=FR_Collège,$E20=EN_Collège,$E20=DE_Collège,$E20=FR_Lycée,$E20=EN_Lycée,$E20=DE_Lycée)
    ),
        INDIRECT($B$4&amp;"_ERR_Seulement_pour_élémentaire"),
        ""
)</f>
        <v/>
      </c>
      <c r="AC21" s="257"/>
      <c r="AD21" s="257"/>
      <c r="AM21" s="258" t="str" cm="1">
        <f t="array" aca="1" ref="AM21" ca="1">IF(
    AND(
         OR($AF20&gt;0,$AH20&gt;0,$AJ20&gt;0,$AL20&gt;0,$AN20&gt;0),
         OR($E20=FR_Collège,$E20=EN_Collège,$E20=DE_Collège,$E20=FR_Lycée,$E20=EN_Lycée,$E20=DE_Lycée)
    ),
        INDIRECT($B$4&amp;"_ERR_Non_proposé_pour_secondaire"),
        ""
)</f>
        <v/>
      </c>
      <c r="AN21" s="258"/>
      <c r="AO21" s="258"/>
      <c r="AP21" s="258"/>
      <c r="AR21" s="257" t="str" cm="1">
        <f t="array" aca="1" ref="AR21" ca="1">IF(
    AND(
        AR20&gt;0,
        OR($E20=FR_Collège, $E20=EN_Collège, $E20=DE_Collège, $E20=FR_Lycée, $E20=EN_Lycée, $E20=DE_Lycée)
    ),
     INDIRECT($B$4&amp;"_ERR_Non_proposé_pour_secondaire"),
    ""
)</f>
        <v/>
      </c>
      <c r="AS21" s="257"/>
      <c r="AT21" s="257"/>
      <c r="AV21" s="257" t="str" cm="1">
        <f t="array" aca="1" ref="AV21" ca="1">IFERROR(
    IF(
        AND(
            AV20=INDIRECT($B$4&amp;"_Oui"),
            OR($E20=FR_Collège, $E20=EN_Collège, $E20=DE_Collège, $E20=FR_Lycée, $E20=EN_Lycée, $E20=DE_Lycée)
       ),
         INDIRECT($B$4&amp;"_ERR_Non_proposé_pour_secondaire"),
        ""
    ),
    ""
)</f>
        <v/>
      </c>
      <c r="AW21" s="257"/>
      <c r="AX21" s="257"/>
      <c r="AZ21" s="137"/>
    </row>
    <row r="22" spans="2:90" ht="16.5" x14ac:dyDescent="0.25">
      <c r="B22" s="128" t="s">
        <v>203</v>
      </c>
      <c r="E22" s="129"/>
      <c r="G22" s="129"/>
      <c r="I22" s="130"/>
      <c r="J22" s="121"/>
      <c r="L22" s="136">
        <f ca="1">IF($BD22="PremInscription", T_Droits_d_entrée,0)</f>
        <v>0</v>
      </c>
      <c r="M22" s="137"/>
      <c r="N22" s="136" cm="1">
        <f t="array" aca="1" ref="N22" ca="1">_xlfn.IFS($BD22="", 0, OR($BD22="PremInscription", $BD22="RéinscriptionAprèsDépart"), T_Frais_de_Dossier,$BD22="Réinscription",T_Frais_de_réinscription)</f>
        <v>0</v>
      </c>
      <c r="O22" s="137"/>
      <c r="P22" s="138">
        <f ca="1">SUM(L22:N22)</f>
        <v>0</v>
      </c>
      <c r="Q22" s="137"/>
      <c r="R22" s="138" cm="1">
        <f t="array" aca="1" ref="R22" ca="1">IFERROR(
    ROUNDUP(
        IF(
            AND(LEFT(BH22,2)&lt;&gt;"TO",I22&gt;=6,BD22&lt;&gt;"RéinscriptionAprèsDépart"),
                (1+T_Prime_Fidélité),1)*INDIRECT(BH22)+INDIRECT("T_Livres_"&amp;BF22),
                0
        ),
    0
)</f>
        <v>0</v>
      </c>
      <c r="S22" s="137"/>
      <c r="T22" s="139"/>
      <c r="U22" s="137"/>
      <c r="V22" s="136" cm="1">
        <f t="array" aca="1" ref="V22" ca="1">IFERROR(
    IF(
        OR($E22=FR_Lycée, $E22=EN_Lycée, $E22=DE_Lycée),
            0,
            IF(T22=INDIRECT($B$4&amp;"_Oui"), 2*T_Navette_1Sem,0)
    ),
    0
)</f>
        <v>0</v>
      </c>
      <c r="W22" s="137"/>
      <c r="X22" s="140"/>
      <c r="Y22" s="137"/>
      <c r="Z22" s="136" cm="1">
        <f t="array" aca="1" ref="Z22" ca="1">IFERROR(IF(BL22="EXT",0,INDIRECT("T_Cantine_"&amp;BF22&amp;"_"&amp;BL22)),0)</f>
        <v>0</v>
      </c>
      <c r="AB22" s="129"/>
      <c r="AD22" s="136" cm="1">
        <f t="array" aca="1" ref="AD22" ca="1">IFERROR(
    IF(
        OR($E22=FR_Maternelle, $E22=EN_Maternelle, $E22=DE_Maternelle, $E22=FR_Collège, $E22=EN_Collège, $E22=DE_Collège, $E22=FR_Lycée, $E22=EN_Lycée, $E22=DE_Lycée),
            0,
            2*INDIRECT("T_Étude_dirigée_"&amp;BN22)
    ),
    0
)</f>
        <v>0</v>
      </c>
      <c r="AF22" s="130"/>
      <c r="AH22" s="130"/>
      <c r="AJ22" s="130"/>
      <c r="AL22" s="130"/>
      <c r="AN22" s="130"/>
      <c r="AP22" s="136">
        <f>IFERROR(
    IF(
        OR($E22=FR_Collège, $E22=EN_Collège, $E22=DE_Collège, $E22=FR_Lycée, $E22=EN_Lycée, $E22=DE_Lycée),
            0,
            2*CJ22*T_Garderie_1Sem_1h00 + 2*CL22*T_Garderie_1Sem_1h15
    ),
    0
)</f>
        <v>0</v>
      </c>
      <c r="AR22" s="130"/>
      <c r="AT22" s="136">
        <f>IFERROR(
    IF(
        OR($E22=FR_Collège, $E22=EN_Collège, $E22=DE_Collège, $E22=FR_Lycée, $E22=EN_Lycée, $E22=DE_Lycée),
            0,
           2* AR22*VALUE(MID(T_HTS,SEARCH(" ", T_HTS)+1,3))+N("Extraction de la valeur min dans le tarif HTS formulé 'entre X et Y CHF'")
    ),
    0
)</f>
        <v>0</v>
      </c>
      <c r="AV22" s="129"/>
      <c r="AX22" s="136" cm="1">
        <f t="array" aca="1" ref="AX22" ca="1">IFERROR(
    IF(
        OR($E22=FR_Collège, $E22=EN_Collège, $E22=DE_Collège, $E22=FR_Lycée, $E22=EN_Lycée, $E22=DE_Lycée),
            0,
            IF(
                    AV22&lt;&gt;INDIRECT($B$4&amp;"_Oui"),
                    0,
                    2*T_Mercredis_récréatifs
            )
    ),
    0
)</f>
        <v>0</v>
      </c>
      <c r="AZ22" s="138">
        <f ca="1">SUM(P22,R22,V22,Z22,AD22,AP22,AT22,AX22)</f>
        <v>0</v>
      </c>
      <c r="BD22" s="122" t="str">
        <f ca="1">IFERROR(VLOOKUP(G22,INDIRECT($B$4&amp;"_Inscription_Lookup"),2,FALSE),"")</f>
        <v/>
      </c>
      <c r="BF22" s="122" t="str">
        <f ca="1">IFERROR(VLOOKUP(E22,INDIRECT($B$4&amp;"_Niveaux_Lookup"),2,FALSE),"")</f>
        <v/>
      </c>
      <c r="BG22" s="122" t="str" cm="1">
        <f t="array" aca="1" ref="BG22" ca="1">IF(E22="","",INDIRECT($B$4&amp;"_Tarif_applicable")&amp;"_"&amp;BF22)</f>
        <v/>
      </c>
      <c r="BH22" s="122" t="str" cm="1">
        <f t="array" aca="1" ref="BH22" ca="1">IFERROR(
    IF(
        LEFT(BG22,2)="TO", BG22,
        _xlfn.IFS(
            AND(LEFT(BG22,5)="TR123",INDIRECT($B$4&amp;"_Nombre_Enfants_à_scolariser")=1), "TR1_"&amp;TEXT(BF22,""),
            AND(LEFT(BG22,5)="TR123",INDIRECT($B$4&amp;"_Nombre_Enfants_à_scolariser")=2), "TR2_"&amp;TEXT(BF22,""),
            AND(LEFT(BG22,5)="TR123",INDIRECT($B$4&amp;"_Nombre_Enfants_à_scolariser")&gt;=3), "TR3_"&amp;TEXT(BF22,""),
            AND(LEFT(BG22,5)="TR456",INDIRECT($B$4&amp;"_Nombre_Enfants_à_scolariser")=1), "TR4_"&amp;TEXT(BF22,""),
            AND(LEFT(BG22,5)="TR456",INDIRECT($B$4&amp;"_Nombre_Enfants_à_scolariser")=2), "TR5_"&amp;TEXT(BF22,""),
            AND(LEFT(BG22,5)="TR456",INDIRECT($B$4&amp;"_Nombre_Enfants_à_scolariser")&gt;=3), "TR6_"&amp;TEXT(BF22,"")
        )
    ),
    ""
)</f>
        <v/>
      </c>
      <c r="BJ22" s="124" t="str" cm="1">
        <f t="array" aca="1" ref="BJ22" ca="1">IFERROR(_xlfn.IFS(
    E22=INDIRECT($B$4&amp;"_Maternelle"),($B$4&amp;"_Régime_Cantine_Maternelle"),
    E22=INDIRECT($B$4&amp;"_Élémentaire"),($B$4&amp;"_Régime_Cantine_Élémentaire"),
    E22=INDIRECT($B$4&amp;"_Collège"),($B$4&amp;"_Régime_Cantine_Collège_Lycée"),
    E22=INDIRECT($B$4&amp;"_Lycée"),($B$4&amp;"_Régime_Cantine_Collège_Lycée")
), "")</f>
        <v/>
      </c>
      <c r="BL22" s="124" t="str">
        <f ca="1">IFERROR(VLOOKUP(X22,INDIRECT($B$4&amp;"_Cantine_Lookup"),2,FALSE),"")</f>
        <v/>
      </c>
      <c r="BN22" s="124" t="str">
        <f ca="1">IFERROR(VLOOKUP(AB22,INDIRECT($B$4&amp;"_Étude_dirigée_Lookup"),2,FALSE),"")</f>
        <v/>
      </c>
      <c r="BP22" s="124">
        <f>IFERROR(VLOOKUP(AF22,Garderie_Lundi_VLOOKUP,2,FALSE),0)</f>
        <v>0</v>
      </c>
      <c r="BR22" s="124">
        <f>IFERROR(VLOOKUP(AF22,Garderie_Lundi_VLOOKUP,3,FALSE),0)</f>
        <v>0</v>
      </c>
      <c r="BT22" s="124">
        <f>IFERROR(VLOOKUP(AH22,Garderie_Mardi_VLOOKUP,2,FALSE),0)</f>
        <v>0</v>
      </c>
      <c r="BV22" s="124">
        <f>IFERROR(VLOOKUP(AH22,Garderie_Mardi_VLOOKUP,3,FALSE),0)</f>
        <v>0</v>
      </c>
      <c r="BX22" s="124">
        <f>IFERROR(VLOOKUP(AJ22,Garderie_Mercredi_VLOOKUP,2,FALSE),0)</f>
        <v>0</v>
      </c>
      <c r="BZ22" s="124">
        <f>IFERROR(VLOOKUP(AJ22,Garderie_Mercredi_VLOOKUP,3,FALSE),0)</f>
        <v>0</v>
      </c>
      <c r="CB22" s="124">
        <f>IFERROR(VLOOKUP(AL22,Garderie_Jeudi_VLOOKUP,2,FALSE),0)</f>
        <v>0</v>
      </c>
      <c r="CD22" s="124">
        <f>IFERROR(VLOOKUP(AL22,Garderie_Jeudi_VLOOKUP,3,FALSE),0)</f>
        <v>0</v>
      </c>
      <c r="CF22" s="124">
        <f>IFERROR(VLOOKUP(AN22,Garderie_Vendredi_VLOOKUP,2,FALSE),0)</f>
        <v>0</v>
      </c>
      <c r="CH22" s="124">
        <f>IFERROR(VLOOKUP(AN22,Garderie_Vendredi_VLOOKUP,3,FALSE),0)</f>
        <v>0</v>
      </c>
      <c r="CJ22" s="124">
        <f>IFERROR(SUM(BP22,BT22,BX22,CB22,CF22),0)</f>
        <v>0</v>
      </c>
      <c r="CL22" s="124">
        <f>IFERROR(SUM(BR22,BV22,BZ22,CD22,CH22),0)</f>
        <v>0</v>
      </c>
    </row>
    <row r="23" spans="2:90" x14ac:dyDescent="0.2">
      <c r="B23" s="128"/>
      <c r="I23" s="8"/>
      <c r="J23" s="121"/>
      <c r="L23" s="137"/>
      <c r="M23" s="137"/>
      <c r="N23" s="137"/>
      <c r="O23" s="137"/>
      <c r="P23" s="137"/>
      <c r="Q23" s="137"/>
      <c r="R23" s="137"/>
      <c r="S23" s="137"/>
      <c r="T23" s="259" t="str" cm="1">
        <f t="array" aca="1" ref="T23" ca="1">IFERROR(
    IF(
        AND(
           T22=INDIRECT($B$4&amp;"_Oui"),
          OR($E22=FR_Lycée,$E22=EN_Lycée,$E22=DE_Lycée)
        ),
        INDIRECT($B$4&amp;"_ERR_Non_proposé_pour_lycée"),
       ""
    ),
    ""
)</f>
        <v/>
      </c>
      <c r="U23" s="259"/>
      <c r="V23" s="259"/>
      <c r="W23" s="137"/>
      <c r="X23" s="137"/>
      <c r="Y23" s="137"/>
      <c r="Z23" s="137"/>
      <c r="AB23" s="257" t="str" cm="1">
        <f t="array" aca="1" ref="AB23" ca="1">IF(
    AND(
         AB22&gt;0,
         OR($E22=FR_Maternelle,$E22=EN_Maternelle,$E22=DE_Maternelle,$E22=FR_Collège,$E22=EN_Collège,$E22=DE_Collège,$E22=FR_Lycée,$E22=EN_Lycée,$E22=DE_Lycée)
    ),
        INDIRECT($B$4&amp;"_ERR_Seulement_pour_élémentaire"),
        ""
)</f>
        <v/>
      </c>
      <c r="AC23" s="257"/>
      <c r="AD23" s="257"/>
      <c r="AM23" s="258" t="str" cm="1">
        <f t="array" aca="1" ref="AM23" ca="1">IF(
    AND(
         OR($AF22&gt;0,$AH22&gt;0,$AJ22&gt;0,$AL22&gt;0,$AN22&gt;0),
         OR($E22=FR_Collège,$E22=EN_Collège,$E22=DE_Collège,$E22=FR_Lycée,$E22=EN_Lycée,$E22=DE_Lycée)
    ),
        INDIRECT($B$4&amp;"_ERR_Non_proposé_pour_secondaire"),
        ""
)</f>
        <v/>
      </c>
      <c r="AN23" s="258"/>
      <c r="AO23" s="258"/>
      <c r="AP23" s="258"/>
      <c r="AR23" s="257" t="str" cm="1">
        <f t="array" aca="1" ref="AR23" ca="1">IF(
    AND(
        AR22&gt;0,
        OR($E22=FR_Collège, $E22=EN_Collège, $E22=DE_Collège, $E22=FR_Lycée, $E22=EN_Lycée, $E22=DE_Lycée)
    ),
     INDIRECT($B$4&amp;"_ERR_Non_proposé_pour_secondaire"),
    ""
)</f>
        <v/>
      </c>
      <c r="AS23" s="257"/>
      <c r="AT23" s="257"/>
      <c r="AV23" s="257" t="str" cm="1">
        <f t="array" aca="1" ref="AV23" ca="1">IFERROR(
    IF(
        AND(
            AV22=INDIRECT($B$4&amp;"_Oui"),
            OR($E22=FR_Collège, $E22=EN_Collège, $E22=DE_Collège, $E22=FR_Lycée, $E22=EN_Lycée, $E22=DE_Lycée)
       ),
         INDIRECT($B$4&amp;"_ERR_Non_proposé_pour_secondaire"),
        ""
    ),
    ""
)</f>
        <v/>
      </c>
      <c r="AW23" s="257"/>
      <c r="AX23" s="257"/>
      <c r="AZ23" s="137"/>
    </row>
    <row r="24" spans="2:90" ht="16.5" x14ac:dyDescent="0.25">
      <c r="B24" s="169" t="s">
        <v>204</v>
      </c>
      <c r="E24" s="141">
        <f>COUNTIF(E14:E23, "&lt;&gt;")</f>
        <v>0</v>
      </c>
      <c r="J24" s="121"/>
      <c r="L24" s="137"/>
      <c r="M24" s="137"/>
      <c r="N24" s="137"/>
      <c r="O24" s="137"/>
      <c r="P24" s="138">
        <f ca="1">SUM(P14:P23)</f>
        <v>0</v>
      </c>
      <c r="Q24" s="137"/>
      <c r="R24" s="138">
        <f ca="1">SUM(R14:R23)</f>
        <v>0</v>
      </c>
      <c r="S24" s="137"/>
      <c r="T24" s="137"/>
      <c r="U24" s="137"/>
      <c r="V24" s="138">
        <f ca="1">SUM(V14:V23)</f>
        <v>0</v>
      </c>
      <c r="W24" s="137"/>
      <c r="X24" s="137"/>
      <c r="Y24" s="137"/>
      <c r="Z24" s="138">
        <f ca="1">SUM(Z14:Z23)</f>
        <v>0</v>
      </c>
      <c r="AD24" s="138">
        <f ca="1">SUM(AD14:AD23)</f>
        <v>0</v>
      </c>
      <c r="AP24" s="138">
        <f>SUM(AP14:AP23)</f>
        <v>0</v>
      </c>
      <c r="AR24" t="s">
        <v>205</v>
      </c>
      <c r="AT24" s="138">
        <f>SUM(AT14:AT23)</f>
        <v>0</v>
      </c>
      <c r="AX24" s="138">
        <f ca="1">SUM(AX14:AX23)</f>
        <v>0</v>
      </c>
      <c r="AZ24" s="138">
        <f ca="1">SUM(AZ14:AZ23)</f>
        <v>0</v>
      </c>
      <c r="BB24" s="122" t="s">
        <v>113</v>
      </c>
    </row>
    <row r="25" spans="2:90" x14ac:dyDescent="0.2">
      <c r="BB25" s="122" t="str" cm="1">
        <f t="array" aca="1" ref="BB25" ca="1">IF(OR(I31=INDIRECT($B$4&amp;"_Oui"), I31=""),"TO","TR")</f>
        <v>TO</v>
      </c>
      <c r="CJ25" s="133"/>
    </row>
    <row r="27" spans="2:90" ht="6" customHeight="1" x14ac:dyDescent="0.2">
      <c r="C27" s="126"/>
      <c r="D27" s="126"/>
      <c r="E27" s="126"/>
      <c r="F27" s="126"/>
      <c r="G27" s="126"/>
      <c r="H27" s="126"/>
      <c r="I27" s="126"/>
      <c r="J27" s="126"/>
      <c r="K27" s="126"/>
    </row>
    <row r="28" spans="2:90" ht="6" customHeight="1" x14ac:dyDescent="0.2">
      <c r="C28" s="126"/>
      <c r="K28" s="126"/>
    </row>
    <row r="29" spans="2:90" x14ac:dyDescent="0.2">
      <c r="C29" s="126"/>
      <c r="E29" s="118" t="s">
        <v>206</v>
      </c>
      <c r="K29" s="126"/>
      <c r="BB29" s="122" t="str" cm="1">
        <f t="array" aca="1" ref="BB29" ca="1">IF(
    BB25="TO",
        "TO",
        IF(
            OR(I33=INDIRECT($B$4&amp;"_Oui"), I33=INDIRECT($B$4&amp;"_Ne_souhaite_pas_répondre"),I33=""),
                "TR123",
                "TR456"
        )
)</f>
        <v>TO</v>
      </c>
    </row>
    <row r="30" spans="2:90" ht="5.25" customHeight="1" x14ac:dyDescent="0.2">
      <c r="C30" s="126"/>
      <c r="K30" s="126"/>
    </row>
    <row r="31" spans="2:90" ht="16.5" x14ac:dyDescent="0.25">
      <c r="C31" s="126"/>
      <c r="E31" t="s">
        <v>207</v>
      </c>
      <c r="I31" s="129"/>
      <c r="K31" s="126"/>
    </row>
    <row r="32" spans="2:90" ht="5.25" customHeight="1" x14ac:dyDescent="0.2">
      <c r="C32" s="126"/>
      <c r="K32" s="126"/>
    </row>
    <row r="33" spans="2:11" ht="16.5" x14ac:dyDescent="0.25">
      <c r="C33" s="126"/>
      <c r="E33" t="s">
        <v>209</v>
      </c>
      <c r="I33" s="129"/>
      <c r="K33" s="126"/>
    </row>
    <row r="34" spans="2:11" ht="6" customHeight="1" x14ac:dyDescent="0.2">
      <c r="C34" s="126"/>
      <c r="K34" s="126"/>
    </row>
    <row r="35" spans="2:11" ht="6" customHeight="1" x14ac:dyDescent="0.2">
      <c r="C35" s="126"/>
      <c r="D35" s="126"/>
      <c r="E35" s="126"/>
      <c r="F35" s="126"/>
      <c r="G35" s="126"/>
      <c r="H35" s="126"/>
      <c r="I35" s="126"/>
      <c r="J35" s="126"/>
      <c r="K35" s="126"/>
    </row>
    <row r="38" spans="2:11" ht="16.5" x14ac:dyDescent="0.25">
      <c r="E38" t="s">
        <v>211</v>
      </c>
      <c r="G38" s="135" cm="1">
        <f t="array" aca="1" ref="G38" ca="1">IFERROR(
    IF(
        AND(COUNTIF(BD14:BD23,Paramètres!G17)=0,INDIRECT($B$4&amp;"_Nombre_Enfants_à_scolariser")&gt;0),
            T_Dépôt_de_garantie,
            0
    )
    +N("Si Nb Enfants inscrits N-1 = 0 on facture le dépôt de garantie"),
    0
)</f>
        <v>0</v>
      </c>
      <c r="I38" s="134" t="str" cm="1">
        <f t="array" aca="1" ref="I38" ca="1">IFERROR(
    _xlfn.IFS(
        INDIRECT($B$4&amp;"_Nombre_Enfants_à_scolariser")=0,
            "",
        INDIRECT($B$4&amp;"_Nombre_Enfants_à_scolariser")&gt;0,
            IF(
                COUNTIF(BD13:BD22,Paramètres!G17)=0+N("Nb Réinscription = 0"),
                     INDIRECT($B$4&amp;"_INFO_Dépôt_de_garantie_à_verser_lors_de_la_première_inscription"),
                     INDIRECT($B$4&amp;"_INFO_Dépôt_de_garantie_déjà_versé")
            )
    ),
    ""
)</f>
        <v/>
      </c>
    </row>
    <row r="39" spans="2:11" ht="15.75" thickBot="1" x14ac:dyDescent="0.25"/>
    <row r="40" spans="2:11" ht="21.75" thickBot="1" x14ac:dyDescent="0.35">
      <c r="B40" s="145" t="s">
        <v>212</v>
      </c>
      <c r="C40" s="132"/>
      <c r="D40" s="132"/>
      <c r="E40" s="157">
        <f>IFERROR(
    IF(
       OR(COUNTIF(E14:E23, "&lt;&gt;")&lt;&gt;COUNTIF(G14:G23, "&lt;&gt;"),I31="", I33=""),
            0,
            SUM(G38,AZ24)
    ),
    0
)</f>
        <v>0</v>
      </c>
      <c r="G40" s="256" t="str" cm="1">
        <f t="array" aca="1" ref="G40" ca="1">IFERROR(
    _xlfn.IFS(
        COUNTIF($E$14:$E$23, "&lt;&gt;")&lt;&gt;COUNTIF($G$14:$G$23, "&lt;&gt;"),
            INDIRECT($B$4&amp;"_ERR_Données_oligatoires_manquantes"),
        OR($I$31="",$I$33=""),
            INDIRECT($B$4&amp;"_ERR_Données_tarifs_réduits_manquantes")
    ),
    "OK"
)</f>
        <v>Enter the discounted fare data to obtain a valid total</v>
      </c>
      <c r="H40" s="256"/>
      <c r="I40" s="256"/>
    </row>
    <row r="44" spans="2:11" ht="17.25" x14ac:dyDescent="0.25">
      <c r="B44" s="142" t="s">
        <v>213</v>
      </c>
    </row>
    <row r="45" spans="2:11" ht="17.25" x14ac:dyDescent="0.25">
      <c r="B45" s="142" t="s">
        <v>120</v>
      </c>
    </row>
  </sheetData>
  <sheetProtection algorithmName="SHA-512" hashValue="4WyRxCr7+y/5uk1tIj+7aOdlRT1///ZUDzlHk5UfpbxAS/QKebssMiGaQLsSq1n2Qn7i0HJIjiD+e2GDXKos3A==" saltValue="ogviEwzTnI5AoVvquiS5IQ==" spinCount="100000" sheet="1" objects="1" scenarios="1"/>
  <mergeCells count="26">
    <mergeCell ref="T17:V17"/>
    <mergeCell ref="AB17:AD17"/>
    <mergeCell ref="AM17:AP17"/>
    <mergeCell ref="AR17:AT17"/>
    <mergeCell ref="AV17:AX17"/>
    <mergeCell ref="T15:V15"/>
    <mergeCell ref="AB15:AD15"/>
    <mergeCell ref="AM15:AP15"/>
    <mergeCell ref="AR15:AT15"/>
    <mergeCell ref="AV15:AX15"/>
    <mergeCell ref="AV23:AX23"/>
    <mergeCell ref="G40:I40"/>
    <mergeCell ref="T19:V19"/>
    <mergeCell ref="AB19:AD19"/>
    <mergeCell ref="AM19:AP19"/>
    <mergeCell ref="AR19:AT19"/>
    <mergeCell ref="T23:V23"/>
    <mergeCell ref="AB23:AD23"/>
    <mergeCell ref="AM23:AP23"/>
    <mergeCell ref="AR23:AT23"/>
    <mergeCell ref="AV19:AX19"/>
    <mergeCell ref="T21:V21"/>
    <mergeCell ref="AB21:AD21"/>
    <mergeCell ref="AM21:AP21"/>
    <mergeCell ref="AR21:AT21"/>
    <mergeCell ref="AV21:AX21"/>
  </mergeCells>
  <phoneticPr fontId="37" type="noConversion"/>
  <conditionalFormatting sqref="G40">
    <cfRule type="expression" dxfId="67" priority="123" stopIfTrue="1">
      <formula>G40="OK"</formula>
    </cfRule>
    <cfRule type="expression" dxfId="66" priority="124">
      <formula>NOT(ISBLANK(G40))</formula>
    </cfRule>
  </conditionalFormatting>
  <conditionalFormatting sqref="I38:M38">
    <cfRule type="expression" dxfId="65" priority="121" stopIfTrue="1">
      <formula>$I$38&lt;&gt;""</formula>
    </cfRule>
    <cfRule type="expression" dxfId="64" priority="122">
      <formula>I38=""</formula>
    </cfRule>
  </conditionalFormatting>
  <dataValidations count="13">
    <dataValidation type="decimal" allowBlank="1" showInputMessage="1" showErrorMessage="1" sqref="AR14 AR16 AR18 AR20 AR22" xr:uid="{81255A4A-6AD0-2547-A694-71F3B2155175}">
      <formula1>0</formula1>
      <formula2>10</formula2>
    </dataValidation>
    <dataValidation type="list" allowBlank="1" showInputMessage="1" showErrorMessage="1" sqref="X14 X22 X18 X20 X16" xr:uid="{F982D3A9-AA50-184E-9279-1BA276B4EE14}">
      <formula1>INDIRECT(BJ14)</formula1>
    </dataValidation>
    <dataValidation type="decimal" operator="lessThan" allowBlank="1" showInputMessage="1" showErrorMessage="1" sqref="I16 I18 I20 I22 I14" xr:uid="{55131CE6-B8D6-8147-A493-B3E441D4C4D9}">
      <formula1>100</formula1>
    </dataValidation>
    <dataValidation type="list" allowBlank="1" showInputMessage="1" showErrorMessage="1" sqref="I31 T14 T16 T18 T20 T22 AV20 AV14 AV16 AV18 AV22" xr:uid="{0B111AD0-BABC-9049-B620-511B137CA597}">
      <formula1>INDIRECT($B$4&amp;"_Liste_Oui_Non")</formula1>
    </dataValidation>
    <dataValidation type="list" allowBlank="1" showInputMessage="1" showErrorMessage="1" sqref="I33" xr:uid="{4A49AE3C-DF11-8145-9E44-62E94249256C}">
      <formula1>INDIRECT($B$4&amp;"_Liste_Oui_Non_Ne_souhaite_pas_répondre")</formula1>
    </dataValidation>
    <dataValidation type="list" allowBlank="1" showInputMessage="1" showErrorMessage="1" sqref="G14 G16 G18 G20 G22" xr:uid="{E78CC744-8999-4D42-8A1D-2CA8BB6178A2}">
      <formula1>INDIRECT($B$4&amp;"_Inscription")</formula1>
    </dataValidation>
    <dataValidation type="list" allowBlank="1" showInputMessage="1" showErrorMessage="1" sqref="AB14 AB16 AB18 AB20 AB22" xr:uid="{6C1D16BE-C186-CF45-8941-EBBD4055FDBB}">
      <formula1>INDIRECT($B$4&amp;"_Étude_dirigée")</formula1>
    </dataValidation>
    <dataValidation type="list" allowBlank="1" showInputMessage="1" showErrorMessage="1" sqref="AN14 AN16 AN18 AN20 AN22" xr:uid="{F937A0A5-DA2F-9447-92BB-FCD90C943484}">
      <formula1>INDIRECT($B$4&amp;"_Garderie_Vendredi")</formula1>
    </dataValidation>
    <dataValidation type="list" allowBlank="1" showInputMessage="1" showErrorMessage="1" sqref="AL14 AL16 AL18 AL20 AL22" xr:uid="{8CEBF68A-DAED-CD40-9768-9B9E67E7888F}">
      <formula1>INDIRECT($B$4&amp;"_Garderie_Jeudi")</formula1>
    </dataValidation>
    <dataValidation type="list" allowBlank="1" showInputMessage="1" showErrorMessage="1" sqref="AJ14 AJ16 AJ18 AJ20 AJ22" xr:uid="{7BA29955-9385-F74B-9C78-E83CE6077355}">
      <formula1>INDIRECT($B$4&amp;"_Garderie_Mercredi")</formula1>
    </dataValidation>
    <dataValidation type="list" allowBlank="1" showInputMessage="1" showErrorMessage="1" sqref="AH14 AH16 AH18 AH20 AH22" xr:uid="{1F990D0F-1D83-C945-95D9-6BDB02BA699E}">
      <formula1>INDIRECT($B$4&amp;"_Garderie_Mardi")</formula1>
    </dataValidation>
    <dataValidation type="list" allowBlank="1" showInputMessage="1" showErrorMessage="1" sqref="AF14 AF16 AF18 AF20 AF22" xr:uid="{B39454FD-098F-A947-947E-70420272709F}">
      <formula1>INDIRECT($B$4&amp;"_Garderie_Lundi")</formula1>
    </dataValidation>
    <dataValidation type="list" allowBlank="1" showInputMessage="1" showErrorMessage="1" sqref="E16 E14 E18 E20 E22" xr:uid="{EFA97DB8-B840-4B42-AD0C-25518A288FC3}">
      <formula1>INDIRECT($B$4&amp;"_Niveaux")</formula1>
    </dataValidation>
  </dataValidations>
  <hyperlinks>
    <hyperlink ref="B44" location="'Simulateur | FR'!A1" display="Français" xr:uid="{1B7B5332-FB95-AE4E-B0CC-3728FF00DE8B}"/>
    <hyperlink ref="B45" location="'Simulateur | DE'!A1" display="Deutsch" xr:uid="{419FAC80-D4E7-C64B-9303-4BFA11A27C22}"/>
  </hyperlinks>
  <pageMargins left="0.7" right="0.7" top="0.75" bottom="0.75" header="0.3" footer="0.3"/>
  <pageSetup paperSize="9" scale="29" orientation="landscape" horizontalDpi="300" verticalDpi="300" r:id="rId1"/>
  <headerFooter>
    <oddFooter>&amp;L_x000D_&amp;1#&amp;"Calibri"&amp;10&amp;K000000 Sensitivity: C2 Internal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8" id="{FFD3A6C5-8FAB-C044-A6D5-8FDB0ECF342E}">
            <xm:f>Paramètres!$D$16=$E14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47" id="{07645B1E-F663-F140-9BE8-23647393760E}">
            <xm:f>Paramètres!$D$29=$E14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46" id="{2C5102AF-EDFD-484B-A0B7-E0490E15DFDA}">
            <xm:f>Paramètres!$D$42=$E14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45" id="{E2EA5574-507C-7845-B5B0-83E8089B3106}">
            <xm:f>Paramètres!$D$17=$E14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44" id="{AC0D98B6-7708-604A-A3A4-6836B45C0B35}">
            <xm:f>Paramètres!$D$30=$E14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43" id="{F2C7277A-5942-564E-9634-CC4A94BCAE32}">
            <xm:f>Paramètres!$D$43=$E14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42" id="{B502D6AD-91F9-0A4B-BCA0-89448600DDF9}">
            <xm:f>Paramètres!$D$18=$E14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41" id="{052AFE8D-BD42-2349-BB18-94D46F8FDEB5}">
            <xm:f>Paramètres!$D$31=$E14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40" id="{5BE1E613-68D8-F54C-92D3-253AB9A5F72C}">
            <xm:f>Paramètres!$D$44=$E14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9" id="{C91ECCCD-FEA1-3446-81DB-B82EF53F5747}">
            <xm:f>Paramètres!$D$19=$E14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38" id="{6A307B7C-F5F2-2449-8EBA-C3D94CC2856F}">
            <xm:f>Paramètres!$D$32=$E14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37" id="{4F5FBB01-9011-6346-9C73-6F65D99D9348}">
            <xm:f>Paramètres!$D$45=$E14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E14</xm:sqref>
        </x14:conditionalFormatting>
        <x14:conditionalFormatting xmlns:xm="http://schemas.microsoft.com/office/excel/2006/main">
          <x14:cfRule type="expression" priority="49" id="{C068CBA1-3BE9-2945-A3A6-F95E3F17B09A}">
            <xm:f>Paramètres!$D$45=$E16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50" id="{3CE58F7D-A57B-5142-9147-4804AC2B963D}">
            <xm:f>Paramètres!$D$32=$E16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60" id="{9D986130-2107-8841-8BCD-BAC709B69757}">
            <xm:f>Paramètres!$D$16=$E16</xm:f>
            <x14:dxf>
              <fill>
                <patternFill>
                  <bgColor rgb="FFFFCC33"/>
                </patternFill>
              </fill>
            </x14:dxf>
          </x14:cfRule>
          <x14:cfRule type="expression" priority="59" id="{5187D22F-9E53-C842-AA6D-420F9C70827D}">
            <xm:f>Paramètres!$D$29=$E16</xm:f>
            <x14:dxf>
              <fill>
                <patternFill>
                  <bgColor rgb="FFFFCC33"/>
                </patternFill>
              </fill>
            </x14:dxf>
          </x14:cfRule>
          <x14:cfRule type="expression" priority="58" id="{142F2945-214F-7143-ABCB-6E420F1234E6}">
            <xm:f>Paramètres!$D$42=$E16</xm:f>
            <x14:dxf>
              <fill>
                <patternFill>
                  <bgColor rgb="FFFFCC33"/>
                </patternFill>
              </fill>
            </x14:dxf>
          </x14:cfRule>
          <x14:cfRule type="expression" priority="57" id="{9299B2E3-1C7F-5146-AD8B-100E8C3A1DA4}">
            <xm:f>Paramètres!$D$17=$E16</xm:f>
            <x14:dxf>
              <fill>
                <patternFill>
                  <bgColor rgb="FF00CCFF"/>
                </patternFill>
              </fill>
            </x14:dxf>
          </x14:cfRule>
          <x14:cfRule type="expression" priority="56" id="{D333DBA4-CBB4-FC40-8D5E-B8C9E78A1EE6}">
            <xm:f>Paramètres!$D$30=$E16</xm:f>
            <x14:dxf>
              <fill>
                <patternFill>
                  <bgColor rgb="FF00CCFF"/>
                </patternFill>
              </fill>
            </x14:dxf>
          </x14:cfRule>
          <x14:cfRule type="expression" priority="55" id="{ADC45C6F-37A6-CB4C-96D9-A754686DD70E}">
            <xm:f>Paramètres!$D$43=$E16</xm:f>
            <x14:dxf>
              <fill>
                <patternFill>
                  <bgColor rgb="FF00CCFF"/>
                </patternFill>
              </fill>
            </x14:dxf>
          </x14:cfRule>
          <x14:cfRule type="expression" priority="54" id="{A46263F7-B404-FD4D-A9A7-44FFA5B99ADD}">
            <xm:f>Paramètres!$D$18=$E16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3" id="{2C405A00-32B5-CB44-99CE-427FDA442BF5}">
            <xm:f>Paramètres!$D$31=$E16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2" id="{255871D4-9E29-0645-BA18-270D8D71C166}">
            <xm:f>Paramètres!$D$44=$E16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1" id="{A4B20546-6586-1D49-B8CA-FE07D34924B4}">
            <xm:f>Paramètres!$D$19=$E16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E16</xm:sqref>
        </x14:conditionalFormatting>
        <x14:conditionalFormatting xmlns:xm="http://schemas.microsoft.com/office/excel/2006/main">
          <x14:cfRule type="expression" priority="25" id="{DDA264DC-FA1D-7A4C-BDE8-973BCBBA17E4}">
            <xm:f>Paramètres!$D$45=$E18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6" id="{5A75F850-D1C6-A74E-8AFA-A1445328507E}">
            <xm:f>Paramètres!$D$32=$E18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7" id="{73CC74EF-E4A9-F04C-AB44-D81B6FA0C7E0}">
            <xm:f>Paramètres!$D$19=$E18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8" id="{82CC6E3A-F6E9-1046-A471-89E3C7501E7E}">
            <xm:f>Paramètres!$D$44=$E18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29" id="{9838AED3-9DC5-A741-AADC-98607A87DEB7}">
            <xm:f>Paramètres!$D$31=$E18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0" id="{F8AAA3A4-E77A-C642-A924-E6CBA401C13E}">
            <xm:f>Paramètres!$D$18=$E18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1" id="{F8600A7F-7A13-3349-9DC9-19C30761CD99}">
            <xm:f>Paramètres!$D$43=$E18</xm:f>
            <x14:dxf>
              <fill>
                <patternFill>
                  <bgColor rgb="FF00CCFF"/>
                </patternFill>
              </fill>
            </x14:dxf>
          </x14:cfRule>
          <x14:cfRule type="expression" priority="32" id="{8831C6A9-86CF-1944-9D5E-6F7F3B7B237C}">
            <xm:f>Paramètres!$D$30=$E18</xm:f>
            <x14:dxf>
              <fill>
                <patternFill>
                  <bgColor rgb="FF00CCFF"/>
                </patternFill>
              </fill>
            </x14:dxf>
          </x14:cfRule>
          <x14:cfRule type="expression" priority="33" id="{711D1609-6793-9543-8A13-C7715FC1D5E1}">
            <xm:f>Paramètres!$D$17=$E18</xm:f>
            <x14:dxf>
              <fill>
                <patternFill>
                  <bgColor rgb="FF00CCFF"/>
                </patternFill>
              </fill>
            </x14:dxf>
          </x14:cfRule>
          <x14:cfRule type="expression" priority="34" id="{F2B4DC70-966E-FE47-9F85-575FA04BD73B}">
            <xm:f>Paramètres!$D$42=$E18</xm:f>
            <x14:dxf>
              <fill>
                <patternFill>
                  <bgColor rgb="FFFFCC33"/>
                </patternFill>
              </fill>
            </x14:dxf>
          </x14:cfRule>
          <x14:cfRule type="expression" priority="35" id="{57A75449-B218-3E4B-91F8-BD9AE239DF8F}">
            <xm:f>Paramètres!$D$29=$E18</xm:f>
            <x14:dxf>
              <fill>
                <patternFill>
                  <bgColor rgb="FFFFCC33"/>
                </patternFill>
              </fill>
            </x14:dxf>
          </x14:cfRule>
          <x14:cfRule type="expression" priority="36" id="{EF0838DE-BDE0-D34C-B82F-C3FA026AD497}">
            <xm:f>Paramètres!$D$16=$E18</xm:f>
            <x14:dxf>
              <fill>
                <patternFill>
                  <bgColor rgb="FFFFCC33"/>
                </patternFill>
              </fill>
            </x14:dxf>
          </x14:cfRule>
          <xm:sqref>E18</xm:sqref>
        </x14:conditionalFormatting>
        <x14:conditionalFormatting xmlns:xm="http://schemas.microsoft.com/office/excel/2006/main">
          <x14:cfRule type="expression" priority="13" id="{2D4869BB-768A-E64F-869D-D343A19C0A81}">
            <xm:f>Paramètres!$D$45=$E20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4" id="{7494FA13-733B-8440-A318-133D9CDA2E32}">
            <xm:f>Paramètres!$D$16=$E20</xm:f>
            <x14:dxf>
              <fill>
                <patternFill>
                  <bgColor rgb="FFFFCC33"/>
                </patternFill>
              </fill>
            </x14:dxf>
          </x14:cfRule>
          <x14:cfRule type="expression" priority="23" id="{5363DCA0-2BBF-CA47-B307-C7D2DF0F1D50}">
            <xm:f>Paramètres!$D$29=$E20</xm:f>
            <x14:dxf>
              <fill>
                <patternFill>
                  <bgColor rgb="FFFFCC33"/>
                </patternFill>
              </fill>
            </x14:dxf>
          </x14:cfRule>
          <x14:cfRule type="expression" priority="22" id="{C8BD6994-80FE-114F-B9E8-2F556E1FE00B}">
            <xm:f>Paramètres!$D$42=$E20</xm:f>
            <x14:dxf>
              <fill>
                <patternFill>
                  <bgColor rgb="FFFFCC33"/>
                </patternFill>
              </fill>
            </x14:dxf>
          </x14:cfRule>
          <x14:cfRule type="expression" priority="21" id="{E83CF32F-A3F1-0B40-BC6F-ADC0AA169929}">
            <xm:f>Paramètres!$D$17=$E20</xm:f>
            <x14:dxf>
              <fill>
                <patternFill>
                  <bgColor rgb="FF00CCFF"/>
                </patternFill>
              </fill>
            </x14:dxf>
          </x14:cfRule>
          <x14:cfRule type="expression" priority="20" id="{26A93512-8C1C-DE46-B99E-91FA555FA59D}">
            <xm:f>Paramètres!$D$30=$E20</xm:f>
            <x14:dxf>
              <fill>
                <patternFill>
                  <bgColor rgb="FF00CCFF"/>
                </patternFill>
              </fill>
            </x14:dxf>
          </x14:cfRule>
          <x14:cfRule type="expression" priority="19" id="{AF1257A6-D324-814B-AAD7-D64B61B21F55}">
            <xm:f>Paramètres!$D$43=$E20</xm:f>
            <x14:dxf>
              <fill>
                <patternFill>
                  <bgColor rgb="FF00CCFF"/>
                </patternFill>
              </fill>
            </x14:dxf>
          </x14:cfRule>
          <x14:cfRule type="expression" priority="18" id="{7ED390BC-7D7A-094E-A1D6-1BFA9DFA1E29}">
            <xm:f>Paramètres!$D$18=$E20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7" id="{5220C660-B5E3-2647-86F3-26659735005F}">
            <xm:f>Paramètres!$D$31=$E20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6" id="{50279905-7547-3949-8676-34FFA9E472C8}">
            <xm:f>Paramètres!$D$44=$E20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5" id="{8B3F76BB-7472-0747-889E-3C4A05577B9A}">
            <xm:f>Paramètres!$D$19=$E20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14" id="{3FB43F24-8852-0D43-A1EA-A342A3824E12}">
            <xm:f>Paramètres!$D$32=$E20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E20</xm:sqref>
        </x14:conditionalFormatting>
        <x14:conditionalFormatting xmlns:xm="http://schemas.microsoft.com/office/excel/2006/main">
          <x14:cfRule type="expression" priority="1" id="{D0002895-6200-534B-8EB4-02A0C601F64F}">
            <xm:f>Paramètres!$D$45=$E22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12" id="{69FB031D-04DF-FF41-AC92-D89E988DA232}">
            <xm:f>Paramètres!$D$16=$E22</xm:f>
            <x14:dxf>
              <fill>
                <patternFill>
                  <bgColor rgb="FFFFCC33"/>
                </patternFill>
              </fill>
            </x14:dxf>
          </x14:cfRule>
          <x14:cfRule type="expression" priority="11" id="{10EC211B-4E56-084F-8281-ED338574A066}">
            <xm:f>Paramètres!$D$29=$E22</xm:f>
            <x14:dxf>
              <fill>
                <patternFill>
                  <bgColor rgb="FFFFCC33"/>
                </patternFill>
              </fill>
            </x14:dxf>
          </x14:cfRule>
          <x14:cfRule type="expression" priority="10" id="{ABC1F97D-C624-7945-AB85-281C952B08A6}">
            <xm:f>Paramètres!$D$42=$E22</xm:f>
            <x14:dxf>
              <fill>
                <patternFill>
                  <bgColor rgb="FFFFCC33"/>
                </patternFill>
              </fill>
            </x14:dxf>
          </x14:cfRule>
          <x14:cfRule type="expression" priority="9" id="{538A368D-79AC-CB4B-98B3-B7ACBFBE2E52}">
            <xm:f>Paramètres!$D$17=$E22</xm:f>
            <x14:dxf>
              <fill>
                <patternFill>
                  <bgColor rgb="FF00CCFF"/>
                </patternFill>
              </fill>
            </x14:dxf>
          </x14:cfRule>
          <x14:cfRule type="expression" priority="8" id="{189A5D25-9807-A741-B69E-84A6039C09A6}">
            <xm:f>Paramètres!$D$30=$E22</xm:f>
            <x14:dxf>
              <fill>
                <patternFill>
                  <bgColor rgb="FF00CCFF"/>
                </patternFill>
              </fill>
            </x14:dxf>
          </x14:cfRule>
          <x14:cfRule type="expression" priority="7" id="{FCFA6E15-32E7-2845-833A-21EAFA231C22}">
            <xm:f>Paramètres!$D$43=$E22</xm:f>
            <x14:dxf>
              <fill>
                <patternFill>
                  <bgColor rgb="FF00CCFF"/>
                </patternFill>
              </fill>
            </x14:dxf>
          </x14:cfRule>
          <x14:cfRule type="expression" priority="6" id="{47EB8AB7-F1C0-4243-9D0A-49E99E527D36}">
            <xm:f>Paramètres!$D$18=$E22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" id="{60B306B1-B57A-E34D-965C-63C696016940}">
            <xm:f>Paramètres!$D$31=$E22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4" id="{C1E9E4F0-7498-3D45-A392-179E350777C2}">
            <xm:f>Paramètres!$D$44=$E22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" id="{CC756DCE-5D2C-284E-8EB3-92C4F2E3E2DC}">
            <xm:f>Paramètres!$D$19=$E22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" id="{56315A69-2868-B341-9FA5-F5E6B8C795EC}">
            <xm:f>Paramètres!$D$32=$E22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E22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F8362-440E-B64C-A47F-B718551E0A8F}">
  <sheetPr codeName="Sheet6">
    <tabColor rgb="FFFFCC33"/>
    <pageSetUpPr fitToPage="1"/>
  </sheetPr>
  <dimension ref="A1:K47"/>
  <sheetViews>
    <sheetView showGridLines="0" zoomScale="82" zoomScaleNormal="82" workbookViewId="0">
      <selection activeCell="D54" sqref="D54"/>
    </sheetView>
  </sheetViews>
  <sheetFormatPr defaultColWidth="10.625" defaultRowHeight="15" x14ac:dyDescent="0.2"/>
  <cols>
    <col min="1" max="1" width="4.9765625" customWidth="1"/>
    <col min="2" max="2" width="26.09765625" customWidth="1"/>
    <col min="3" max="3" width="50.84765625" customWidth="1"/>
    <col min="4" max="4" width="15.46875" customWidth="1"/>
    <col min="5" max="5" width="6.45703125" customWidth="1"/>
    <col min="6" max="6" width="19.37109375" customWidth="1"/>
    <col min="7" max="8" width="19.37109375" bestFit="1" customWidth="1"/>
    <col min="9" max="9" width="22.05859375" customWidth="1"/>
    <col min="10" max="10" width="22.8671875" customWidth="1"/>
    <col min="11" max="11" width="4.9765625" customWidth="1"/>
    <col min="14" max="14" width="9.14453125" customWidth="1"/>
  </cols>
  <sheetData>
    <row r="1" spans="1:11" x14ac:dyDescent="0.2">
      <c r="A1" s="1"/>
      <c r="B1" s="2"/>
      <c r="C1" s="2"/>
      <c r="D1" s="2"/>
      <c r="E1" s="3"/>
      <c r="F1" s="2"/>
      <c r="G1" s="4"/>
      <c r="H1" s="2"/>
      <c r="I1" s="5"/>
      <c r="J1" s="2"/>
      <c r="K1" s="6"/>
    </row>
    <row r="2" spans="1:11" ht="34.5" x14ac:dyDescent="0.5">
      <c r="A2" s="7"/>
      <c r="C2" s="183"/>
      <c r="D2" s="183"/>
      <c r="E2" s="183"/>
      <c r="F2" s="183"/>
      <c r="G2" s="183"/>
      <c r="H2" s="183"/>
      <c r="I2" s="8"/>
      <c r="K2" s="9"/>
    </row>
    <row r="3" spans="1:11" x14ac:dyDescent="0.2">
      <c r="A3" s="7"/>
      <c r="E3" s="10"/>
      <c r="G3" s="11"/>
      <c r="I3" s="8"/>
      <c r="K3" s="9"/>
    </row>
    <row r="4" spans="1:11" x14ac:dyDescent="0.2">
      <c r="A4" s="7"/>
      <c r="E4" s="10"/>
      <c r="G4" s="11"/>
      <c r="I4" s="8"/>
      <c r="K4" s="9"/>
    </row>
    <row r="5" spans="1:11" ht="15.75" thickBot="1" x14ac:dyDescent="0.25">
      <c r="A5" s="7"/>
      <c r="E5" s="10"/>
      <c r="G5" s="11"/>
      <c r="I5" s="8"/>
      <c r="K5" s="9"/>
    </row>
    <row r="6" spans="1:11" ht="25.5" thickBot="1" x14ac:dyDescent="0.35">
      <c r="A6" s="7"/>
      <c r="B6" s="184" t="s">
        <v>214</v>
      </c>
      <c r="C6" s="185"/>
      <c r="D6" s="185"/>
      <c r="E6" s="185"/>
      <c r="F6" s="185"/>
      <c r="G6" s="185"/>
      <c r="H6" s="185"/>
      <c r="I6" s="185"/>
      <c r="J6" s="186"/>
      <c r="K6" s="12"/>
    </row>
    <row r="7" spans="1:11" x14ac:dyDescent="0.2">
      <c r="A7" s="7"/>
      <c r="B7" s="13"/>
      <c r="C7" s="14"/>
      <c r="D7" s="14"/>
      <c r="E7" s="14"/>
      <c r="F7" s="14"/>
      <c r="G7" s="14"/>
      <c r="H7" s="14"/>
      <c r="I7" s="14"/>
      <c r="J7" s="15"/>
      <c r="K7" s="16"/>
    </row>
    <row r="8" spans="1:11" ht="15.75" thickBot="1" x14ac:dyDescent="0.25">
      <c r="A8" s="7"/>
      <c r="B8" s="17"/>
      <c r="C8" s="18"/>
      <c r="D8" s="18"/>
      <c r="E8" s="19"/>
      <c r="F8" s="18"/>
      <c r="G8" s="20"/>
      <c r="H8" s="18"/>
      <c r="I8" s="21"/>
      <c r="J8" s="22"/>
      <c r="K8" s="23"/>
    </row>
    <row r="9" spans="1:11" ht="21.75" thickBot="1" x14ac:dyDescent="0.3">
      <c r="A9" s="7"/>
      <c r="B9" s="187" t="s">
        <v>215</v>
      </c>
      <c r="C9" s="188"/>
      <c r="D9" s="188"/>
      <c r="E9" s="188"/>
      <c r="F9" s="188"/>
      <c r="G9" s="188"/>
      <c r="H9" s="188"/>
      <c r="I9" s="188"/>
      <c r="J9" s="189"/>
      <c r="K9" s="24"/>
    </row>
    <row r="10" spans="1:11" ht="18" x14ac:dyDescent="0.2">
      <c r="A10" s="7"/>
      <c r="B10" s="190"/>
      <c r="C10" s="191"/>
      <c r="D10" s="191"/>
      <c r="E10" s="191"/>
      <c r="F10" s="192"/>
      <c r="G10" s="25" t="s">
        <v>123</v>
      </c>
      <c r="H10" s="26" t="s">
        <v>216</v>
      </c>
      <c r="I10" s="27" t="s">
        <v>217</v>
      </c>
      <c r="J10" s="28" t="s">
        <v>218</v>
      </c>
      <c r="K10" s="24"/>
    </row>
    <row r="11" spans="1:11" ht="18" x14ac:dyDescent="0.2">
      <c r="A11" s="7"/>
      <c r="B11" s="29" t="s">
        <v>219</v>
      </c>
      <c r="C11" s="193" t="s">
        <v>220</v>
      </c>
      <c r="D11" s="194"/>
      <c r="E11" s="194"/>
      <c r="F11" s="194"/>
      <c r="G11" s="30">
        <v>18469</v>
      </c>
      <c r="H11" s="31">
        <v>17074</v>
      </c>
      <c r="I11" s="32">
        <v>22935</v>
      </c>
      <c r="J11" s="33">
        <v>26889</v>
      </c>
      <c r="K11" s="24"/>
    </row>
    <row r="12" spans="1:11" ht="40.35" customHeight="1" x14ac:dyDescent="0.2">
      <c r="A12" s="7"/>
      <c r="B12" s="177" t="s">
        <v>221</v>
      </c>
      <c r="C12" s="180" t="s">
        <v>222</v>
      </c>
      <c r="D12" s="179"/>
      <c r="E12" s="179"/>
      <c r="F12" s="179"/>
      <c r="G12" s="34">
        <v>13667</v>
      </c>
      <c r="H12" s="35">
        <v>12635</v>
      </c>
      <c r="I12" s="36">
        <v>16972</v>
      </c>
      <c r="J12" s="37">
        <v>19898</v>
      </c>
      <c r="K12" s="24"/>
    </row>
    <row r="13" spans="1:11" ht="40.35" customHeight="1" x14ac:dyDescent="0.2">
      <c r="A13" s="7"/>
      <c r="B13" s="177"/>
      <c r="C13" s="180" t="s">
        <v>223</v>
      </c>
      <c r="D13" s="179"/>
      <c r="E13" s="179"/>
      <c r="F13" s="179"/>
      <c r="G13" s="34">
        <v>13298</v>
      </c>
      <c r="H13" s="35">
        <v>12293</v>
      </c>
      <c r="I13" s="36">
        <v>16513</v>
      </c>
      <c r="J13" s="37">
        <v>19360</v>
      </c>
      <c r="K13" s="24"/>
    </row>
    <row r="14" spans="1:11" ht="40.35" customHeight="1" x14ac:dyDescent="0.2">
      <c r="A14" s="7"/>
      <c r="B14" s="177"/>
      <c r="C14" s="180" t="s">
        <v>224</v>
      </c>
      <c r="D14" s="179"/>
      <c r="E14" s="179"/>
      <c r="F14" s="179"/>
      <c r="G14" s="34">
        <v>11451</v>
      </c>
      <c r="H14" s="35">
        <v>10586</v>
      </c>
      <c r="I14" s="36">
        <v>14219</v>
      </c>
      <c r="J14" s="37">
        <v>16671</v>
      </c>
      <c r="K14" s="24"/>
    </row>
    <row r="15" spans="1:11" ht="40.35" customHeight="1" x14ac:dyDescent="0.2">
      <c r="A15" s="7"/>
      <c r="B15" s="177"/>
      <c r="C15" s="180" t="s">
        <v>225</v>
      </c>
      <c r="D15" s="179"/>
      <c r="E15" s="179"/>
      <c r="F15" s="179"/>
      <c r="G15" s="34">
        <v>10527</v>
      </c>
      <c r="H15" s="35">
        <v>9732</v>
      </c>
      <c r="I15" s="36">
        <v>13073</v>
      </c>
      <c r="J15" s="37">
        <v>15327</v>
      </c>
      <c r="K15" s="24"/>
    </row>
    <row r="16" spans="1:11" ht="38.25" customHeight="1" x14ac:dyDescent="0.2">
      <c r="A16" s="7"/>
      <c r="B16" s="177"/>
      <c r="C16" s="180" t="s">
        <v>226</v>
      </c>
      <c r="D16" s="179"/>
      <c r="E16" s="179"/>
      <c r="F16" s="179"/>
      <c r="G16" s="34">
        <v>10158</v>
      </c>
      <c r="H16" s="35">
        <v>9391</v>
      </c>
      <c r="I16" s="36">
        <v>12614</v>
      </c>
      <c r="J16" s="37">
        <v>14789</v>
      </c>
      <c r="K16" s="24"/>
    </row>
    <row r="17" spans="1:11" ht="41.85" customHeight="1" thickBot="1" x14ac:dyDescent="0.25">
      <c r="A17" s="7"/>
      <c r="B17" s="178"/>
      <c r="C17" s="181" t="s">
        <v>227</v>
      </c>
      <c r="D17" s="182"/>
      <c r="E17" s="182"/>
      <c r="F17" s="182"/>
      <c r="G17" s="38">
        <v>8311</v>
      </c>
      <c r="H17" s="39">
        <v>7683</v>
      </c>
      <c r="I17" s="40">
        <v>10321</v>
      </c>
      <c r="J17" s="41">
        <v>12100</v>
      </c>
      <c r="K17" s="24"/>
    </row>
    <row r="18" spans="1:11" ht="18" x14ac:dyDescent="0.2">
      <c r="A18" s="7"/>
      <c r="B18" s="42"/>
      <c r="C18" s="43"/>
      <c r="D18" s="43"/>
      <c r="E18" s="43"/>
      <c r="F18" s="44"/>
      <c r="G18" s="44"/>
      <c r="H18" s="44"/>
      <c r="I18" s="44"/>
      <c r="J18" s="45"/>
      <c r="K18" s="24"/>
    </row>
    <row r="19" spans="1:11" ht="15.75" thickBot="1" x14ac:dyDescent="0.25">
      <c r="A19" s="7"/>
      <c r="B19" s="146"/>
      <c r="C19" s="46"/>
      <c r="D19" s="47"/>
      <c r="E19" s="47"/>
      <c r="F19" s="48"/>
      <c r="G19" s="49"/>
      <c r="H19" s="48"/>
      <c r="I19" s="50"/>
      <c r="J19" s="48"/>
      <c r="K19" s="24"/>
    </row>
    <row r="20" spans="1:11" ht="21.75" thickBot="1" x14ac:dyDescent="0.3">
      <c r="A20" s="7"/>
      <c r="B20" s="195" t="s">
        <v>228</v>
      </c>
      <c r="C20" s="196"/>
      <c r="D20" s="197"/>
      <c r="E20" s="51"/>
      <c r="F20" s="187" t="s">
        <v>229</v>
      </c>
      <c r="G20" s="188"/>
      <c r="H20" s="188"/>
      <c r="I20" s="188"/>
      <c r="J20" s="189"/>
      <c r="K20" s="24"/>
    </row>
    <row r="21" spans="1:11" ht="19.350000000000001" customHeight="1" x14ac:dyDescent="0.2">
      <c r="A21" s="7"/>
      <c r="B21" s="198" t="s">
        <v>230</v>
      </c>
      <c r="C21" s="91" t="s">
        <v>231</v>
      </c>
      <c r="D21" s="63">
        <v>1000</v>
      </c>
      <c r="E21" s="54"/>
      <c r="F21" s="92"/>
      <c r="G21" s="25" t="s">
        <v>123</v>
      </c>
      <c r="H21" s="26" t="s">
        <v>216</v>
      </c>
      <c r="I21" s="27" t="s">
        <v>232</v>
      </c>
      <c r="J21" s="28" t="s">
        <v>233</v>
      </c>
      <c r="K21" s="24"/>
    </row>
    <row r="22" spans="1:11" ht="18" x14ac:dyDescent="0.2">
      <c r="A22" s="7"/>
      <c r="B22" s="198"/>
      <c r="C22" s="93" t="s">
        <v>234</v>
      </c>
      <c r="D22" s="56">
        <v>1250</v>
      </c>
      <c r="E22" s="54"/>
      <c r="F22" s="94" t="s">
        <v>235</v>
      </c>
      <c r="G22" s="95">
        <v>2003</v>
      </c>
      <c r="H22" s="96">
        <v>2003</v>
      </c>
      <c r="I22" s="97"/>
      <c r="J22" s="98"/>
      <c r="K22" s="24"/>
    </row>
    <row r="23" spans="1:11" ht="18.75" thickBot="1" x14ac:dyDescent="0.25">
      <c r="A23" s="7"/>
      <c r="B23" s="198"/>
      <c r="C23" s="99" t="s">
        <v>236</v>
      </c>
      <c r="D23" s="58">
        <v>4000</v>
      </c>
      <c r="E23" s="59"/>
      <c r="F23" s="94" t="s">
        <v>237</v>
      </c>
      <c r="G23" s="34">
        <v>2517</v>
      </c>
      <c r="H23" s="35">
        <v>2517</v>
      </c>
      <c r="I23" s="36">
        <v>2517</v>
      </c>
      <c r="J23" s="37">
        <v>1837</v>
      </c>
      <c r="K23" s="24"/>
    </row>
    <row r="24" spans="1:11" ht="19.350000000000001" customHeight="1" x14ac:dyDescent="0.2">
      <c r="A24" s="7"/>
      <c r="B24" s="199" t="s">
        <v>238</v>
      </c>
      <c r="C24" s="207" t="s">
        <v>239</v>
      </c>
      <c r="D24" s="263">
        <v>275</v>
      </c>
      <c r="E24" s="60"/>
      <c r="F24" s="100" t="s">
        <v>240</v>
      </c>
      <c r="G24" s="101"/>
      <c r="H24" s="102">
        <v>1050</v>
      </c>
      <c r="I24" s="103">
        <v>1050</v>
      </c>
      <c r="J24" s="104">
        <v>0</v>
      </c>
      <c r="K24" s="24"/>
    </row>
    <row r="25" spans="1:11" ht="30.75" customHeight="1" thickBot="1" x14ac:dyDescent="0.25">
      <c r="A25" s="7"/>
      <c r="B25" s="206"/>
      <c r="C25" s="208"/>
      <c r="D25" s="264"/>
      <c r="E25" s="61"/>
      <c r="F25" s="105" t="s">
        <v>241</v>
      </c>
      <c r="G25" s="211" t="s">
        <v>27</v>
      </c>
      <c r="H25" s="212"/>
      <c r="I25" s="212"/>
      <c r="J25" s="213"/>
      <c r="K25" s="24"/>
    </row>
    <row r="26" spans="1:11" ht="21" customHeight="1" x14ac:dyDescent="0.2">
      <c r="A26" s="62"/>
      <c r="B26" s="199" t="s">
        <v>242</v>
      </c>
      <c r="C26" s="106" t="s">
        <v>148</v>
      </c>
      <c r="D26" s="63">
        <v>350</v>
      </c>
      <c r="E26" s="107"/>
      <c r="F26" s="200" t="s">
        <v>243</v>
      </c>
      <c r="G26" s="201"/>
      <c r="H26" s="201"/>
      <c r="I26" s="201"/>
      <c r="J26" s="202"/>
      <c r="K26" s="24"/>
    </row>
    <row r="27" spans="1:11" ht="18.75" thickBot="1" x14ac:dyDescent="0.25">
      <c r="A27" s="64"/>
      <c r="B27" s="198"/>
      <c r="C27" s="93" t="s">
        <v>244</v>
      </c>
      <c r="D27" s="56">
        <v>760</v>
      </c>
      <c r="E27" s="65"/>
      <c r="F27" s="203"/>
      <c r="G27" s="204"/>
      <c r="H27" s="204"/>
      <c r="I27" s="204"/>
      <c r="J27" s="205"/>
      <c r="K27" s="24"/>
    </row>
    <row r="28" spans="1:11" ht="18" x14ac:dyDescent="0.2">
      <c r="A28" s="64"/>
      <c r="B28" s="198"/>
      <c r="C28" s="93" t="s">
        <v>245</v>
      </c>
      <c r="D28" s="56">
        <v>760</v>
      </c>
      <c r="E28" s="65"/>
      <c r="F28" s="66"/>
      <c r="G28" s="67"/>
      <c r="H28" s="67"/>
      <c r="I28" s="67"/>
      <c r="J28" s="67"/>
      <c r="K28" s="68"/>
    </row>
    <row r="29" spans="1:11" ht="18" customHeight="1" thickBot="1" x14ac:dyDescent="0.25">
      <c r="A29" s="69"/>
      <c r="B29" s="198"/>
      <c r="C29" s="99" t="s">
        <v>246</v>
      </c>
      <c r="D29" s="58">
        <v>760</v>
      </c>
      <c r="E29" s="65"/>
      <c r="F29" s="70"/>
      <c r="G29" s="71"/>
      <c r="H29" s="71"/>
      <c r="I29" s="71"/>
      <c r="J29" s="71"/>
      <c r="K29" s="68"/>
    </row>
    <row r="30" spans="1:11" x14ac:dyDescent="0.2">
      <c r="A30" s="83"/>
      <c r="B30" s="84"/>
      <c r="C30" s="84"/>
      <c r="D30" s="84"/>
      <c r="E30" s="84"/>
      <c r="F30" s="84"/>
      <c r="G30" s="84"/>
      <c r="H30" s="84"/>
      <c r="I30" s="84"/>
      <c r="J30" s="84"/>
      <c r="K30" s="85"/>
    </row>
    <row r="34" spans="2:11" ht="21" x14ac:dyDescent="0.2">
      <c r="B34" s="235" t="s">
        <v>247</v>
      </c>
      <c r="C34" s="236"/>
      <c r="D34" s="236"/>
      <c r="E34" s="236"/>
      <c r="F34" s="236"/>
      <c r="G34" s="236"/>
      <c r="H34" s="236"/>
      <c r="I34" s="236"/>
      <c r="J34" s="236"/>
    </row>
    <row r="35" spans="2:11" ht="13.35" customHeight="1" thickBot="1" x14ac:dyDescent="0.25">
      <c r="B35" s="86"/>
      <c r="C35" s="87"/>
      <c r="D35" s="87"/>
      <c r="E35" s="87"/>
      <c r="F35" s="87"/>
      <c r="G35" s="87"/>
      <c r="H35" s="87"/>
      <c r="I35" s="87"/>
      <c r="J35" s="87"/>
    </row>
    <row r="36" spans="2:11" ht="58.5" customHeight="1" thickBot="1" x14ac:dyDescent="0.25">
      <c r="B36" s="237" t="s">
        <v>248</v>
      </c>
      <c r="C36" s="52" t="s">
        <v>249</v>
      </c>
      <c r="D36" s="53">
        <v>254</v>
      </c>
      <c r="F36" s="240" t="s">
        <v>250</v>
      </c>
      <c r="G36" s="242" t="s">
        <v>251</v>
      </c>
      <c r="H36" s="243"/>
      <c r="I36" s="243"/>
      <c r="J36" s="244"/>
    </row>
    <row r="37" spans="2:11" ht="34.35" customHeight="1" x14ac:dyDescent="0.2">
      <c r="B37" s="238"/>
      <c r="C37" s="147" t="s">
        <v>252</v>
      </c>
      <c r="D37" s="56">
        <v>203</v>
      </c>
      <c r="F37" s="241"/>
      <c r="G37" s="245" t="s">
        <v>253</v>
      </c>
      <c r="H37" s="246"/>
      <c r="I37" s="247"/>
      <c r="J37" s="53">
        <v>265</v>
      </c>
    </row>
    <row r="38" spans="2:11" ht="19.5" customHeight="1" thickBot="1" x14ac:dyDescent="0.25">
      <c r="B38" s="239"/>
      <c r="C38" s="57" t="s">
        <v>254</v>
      </c>
      <c r="D38" s="58">
        <v>16</v>
      </c>
      <c r="F38" s="241"/>
      <c r="G38" s="248" t="s">
        <v>255</v>
      </c>
      <c r="H38" s="249"/>
      <c r="I38" s="250"/>
      <c r="J38" s="63">
        <v>420</v>
      </c>
    </row>
    <row r="39" spans="2:11" ht="19.5" customHeight="1" x14ac:dyDescent="0.2">
      <c r="B39" s="251" t="s">
        <v>48</v>
      </c>
      <c r="C39" s="52" t="s">
        <v>256</v>
      </c>
      <c r="D39" s="53">
        <v>1050</v>
      </c>
      <c r="F39" s="241"/>
      <c r="G39" s="248" t="s">
        <v>257</v>
      </c>
      <c r="H39" s="249"/>
      <c r="I39" s="250"/>
      <c r="J39" s="56">
        <v>580</v>
      </c>
    </row>
    <row r="40" spans="2:11" ht="19.5" customHeight="1" thickBot="1" x14ac:dyDescent="0.25">
      <c r="B40" s="252"/>
      <c r="C40" s="57" t="s">
        <v>258</v>
      </c>
      <c r="D40" s="58">
        <v>70</v>
      </c>
      <c r="F40" s="241"/>
      <c r="G40" s="253" t="s">
        <v>259</v>
      </c>
      <c r="H40" s="254"/>
      <c r="I40" s="255"/>
      <c r="J40" s="58">
        <v>685</v>
      </c>
    </row>
    <row r="41" spans="2:11" ht="18.75" thickBot="1" x14ac:dyDescent="0.25">
      <c r="B41" s="108" t="s">
        <v>260</v>
      </c>
      <c r="C41" s="109" t="s">
        <v>261</v>
      </c>
      <c r="D41" s="90">
        <v>550</v>
      </c>
    </row>
    <row r="42" spans="2:11" ht="17.850000000000001" customHeight="1" thickBot="1" x14ac:dyDescent="0.25">
      <c r="F42" s="229" t="s">
        <v>262</v>
      </c>
      <c r="G42" s="88" t="s">
        <v>263</v>
      </c>
      <c r="H42" s="112"/>
      <c r="I42" s="231" t="s">
        <v>264</v>
      </c>
      <c r="J42" s="232"/>
      <c r="K42" s="110"/>
    </row>
    <row r="43" spans="2:11" ht="38.25" customHeight="1" thickBot="1" x14ac:dyDescent="0.25">
      <c r="B43" s="89" t="s">
        <v>265</v>
      </c>
      <c r="C43" s="109" t="s">
        <v>266</v>
      </c>
      <c r="D43" s="90">
        <v>600</v>
      </c>
      <c r="F43" s="230"/>
      <c r="G43" s="114" t="s">
        <v>267</v>
      </c>
      <c r="H43" s="113"/>
      <c r="I43" s="233"/>
      <c r="J43" s="234"/>
      <c r="K43" s="110"/>
    </row>
    <row r="44" spans="2:11" ht="16.5" customHeight="1" x14ac:dyDescent="0.2">
      <c r="J44" s="111"/>
    </row>
    <row r="47" spans="2:11" ht="15" customHeight="1" x14ac:dyDescent="0.2"/>
  </sheetData>
  <sheetProtection algorithmName="SHA-512" hashValue="ExEyhDTl2qx9rwouqB1YKOkkMNOzZ+bEPnFRVF/WkGFUXdBVJl/7zkOFspWaXLPnjuwkSRtsWheo7mN3p+sZJA==" saltValue="aJoyeHojnGom1uCyVPh8bw==" spinCount="100000" sheet="1" objects="1" scenarios="1"/>
  <mergeCells count="32">
    <mergeCell ref="B24:B25"/>
    <mergeCell ref="C24:C25"/>
    <mergeCell ref="D24:D25"/>
    <mergeCell ref="G25:J25"/>
    <mergeCell ref="C2:H2"/>
    <mergeCell ref="B6:J6"/>
    <mergeCell ref="B9:J9"/>
    <mergeCell ref="B10:F10"/>
    <mergeCell ref="C11:F11"/>
    <mergeCell ref="B12:B17"/>
    <mergeCell ref="C12:F12"/>
    <mergeCell ref="C13:F13"/>
    <mergeCell ref="C14:F14"/>
    <mergeCell ref="C15:F15"/>
    <mergeCell ref="C16:F16"/>
    <mergeCell ref="C17:F17"/>
    <mergeCell ref="B20:D20"/>
    <mergeCell ref="F20:J20"/>
    <mergeCell ref="B21:B23"/>
    <mergeCell ref="G40:I40"/>
    <mergeCell ref="F42:F43"/>
    <mergeCell ref="I42:J43"/>
    <mergeCell ref="B26:B29"/>
    <mergeCell ref="F26:J27"/>
    <mergeCell ref="B34:J34"/>
    <mergeCell ref="B36:B38"/>
    <mergeCell ref="F36:F40"/>
    <mergeCell ref="G36:J36"/>
    <mergeCell ref="G37:I37"/>
    <mergeCell ref="G38:I38"/>
    <mergeCell ref="B39:B40"/>
    <mergeCell ref="G39:I39"/>
  </mergeCells>
  <pageMargins left="0.25" right="0.25" top="0.75" bottom="0.75" header="0.3" footer="0.3"/>
  <pageSetup paperSize="9" scale="4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C83A8-3842-7540-A58D-C5DF3D47B7BB}">
  <sheetPr codeName="Sheet7">
    <tabColor rgb="FFFFCC33"/>
    <pageSetUpPr fitToPage="1"/>
  </sheetPr>
  <dimension ref="B4:CL45"/>
  <sheetViews>
    <sheetView showGridLines="0" topLeftCell="B1" zoomScaleNormal="100" workbookViewId="0">
      <selection activeCell="E14" sqref="E14"/>
    </sheetView>
  </sheetViews>
  <sheetFormatPr defaultColWidth="10.625" defaultRowHeight="15" x14ac:dyDescent="0.2"/>
  <cols>
    <col min="1" max="1" width="0.671875" customWidth="1"/>
    <col min="2" max="2" width="31.4765625" customWidth="1"/>
    <col min="3" max="3" width="1.74609375" customWidth="1"/>
    <col min="4" max="4" width="4.4375" customWidth="1"/>
    <col min="5" max="5" width="22.8671875" customWidth="1"/>
    <col min="6" max="6" width="1.61328125" customWidth="1"/>
    <col min="7" max="7" width="48.0234375" customWidth="1"/>
    <col min="8" max="8" width="2.6875" customWidth="1"/>
    <col min="9" max="9" width="22.59765625" customWidth="1"/>
    <col min="10" max="11" width="1.61328125" customWidth="1"/>
    <col min="12" max="12" width="7.93359375" customWidth="1"/>
    <col min="13" max="13" width="1.61328125" customWidth="1"/>
    <col min="14" max="14" width="6.72265625" customWidth="1"/>
    <col min="15" max="15" width="1.61328125" customWidth="1"/>
    <col min="16" max="16" width="11.02734375" customWidth="1"/>
    <col min="17" max="17" width="2.015625" customWidth="1"/>
    <col min="18" max="18" width="13.31640625" customWidth="1"/>
    <col min="19" max="19" width="3.2265625" customWidth="1"/>
    <col min="20" max="20" width="9.953125" customWidth="1"/>
    <col min="21" max="21" width="1.4765625" customWidth="1"/>
    <col min="22" max="22" width="8.875" customWidth="1"/>
    <col min="23" max="23" width="1.61328125" customWidth="1"/>
    <col min="24" max="24" width="34.30078125" customWidth="1"/>
    <col min="25" max="25" width="1.61328125" customWidth="1"/>
    <col min="26" max="26" width="7.26171875" customWidth="1"/>
    <col min="27" max="27" width="3.2265625" customWidth="1"/>
    <col min="28" max="28" width="19.7734375" bestFit="1" customWidth="1"/>
    <col min="29" max="29" width="1.61328125" customWidth="1"/>
    <col min="30" max="30" width="7.26171875" customWidth="1"/>
    <col min="31" max="31" width="3.359375" customWidth="1"/>
    <col min="32" max="32" width="11.703125" customWidth="1"/>
    <col min="33" max="33" width="1.61328125" customWidth="1"/>
    <col min="34" max="34" width="11.703125" customWidth="1"/>
    <col min="35" max="35" width="1.61328125" customWidth="1"/>
    <col min="36" max="36" width="11.703125" customWidth="1"/>
    <col min="37" max="37" width="1.61328125" customWidth="1"/>
    <col min="38" max="38" width="11.703125" customWidth="1"/>
    <col min="39" max="39" width="1.61328125" customWidth="1"/>
    <col min="40" max="40" width="11.703125" customWidth="1"/>
    <col min="41" max="41" width="1.61328125" customWidth="1"/>
    <col min="42" max="42" width="9.14453125" customWidth="1"/>
    <col min="43" max="43" width="3.2265625" customWidth="1"/>
    <col min="44" max="44" width="24.75" customWidth="1"/>
    <col min="45" max="45" width="1.61328125" customWidth="1"/>
    <col min="46" max="46" width="7.53125" customWidth="1"/>
    <col min="47" max="47" width="3.2265625" customWidth="1"/>
    <col min="48" max="48" width="17.21875" customWidth="1"/>
    <col min="49" max="49" width="1.61328125" customWidth="1"/>
    <col min="50" max="50" width="7.53125" customWidth="1"/>
    <col min="51" max="51" width="3.359375" customWidth="1"/>
    <col min="52" max="52" width="10.76171875" customWidth="1"/>
    <col min="53" max="53" width="10.625" customWidth="1"/>
    <col min="54" max="54" width="10.76171875" hidden="1" customWidth="1"/>
    <col min="55" max="55" width="1.61328125" hidden="1" customWidth="1"/>
    <col min="56" max="56" width="24.75" hidden="1" customWidth="1"/>
    <col min="57" max="57" width="1.61328125" hidden="1" customWidth="1"/>
    <col min="58" max="58" width="14.66015625" hidden="1" customWidth="1"/>
    <col min="59" max="59" width="15.33203125" hidden="1" customWidth="1"/>
    <col min="60" max="60" width="14.66015625" hidden="1" customWidth="1"/>
    <col min="61" max="61" width="1.61328125" hidden="1" customWidth="1"/>
    <col min="62" max="62" width="27.7109375" hidden="1" customWidth="1"/>
    <col min="63" max="63" width="1.61328125" hidden="1" customWidth="1"/>
    <col min="64" max="64" width="23.67578125" hidden="1" customWidth="1"/>
    <col min="65" max="65" width="1.61328125" hidden="1" customWidth="1"/>
    <col min="66" max="66" width="19.7734375" hidden="1" customWidth="1"/>
    <col min="67" max="67" width="1.61328125" hidden="1" customWidth="1"/>
    <col min="68" max="68" width="14.390625" hidden="1" customWidth="1"/>
    <col min="69" max="69" width="0.8046875" hidden="1" customWidth="1"/>
    <col min="70" max="70" width="16.0078125" hidden="1" customWidth="1"/>
    <col min="71" max="71" width="0.94140625" hidden="1" customWidth="1"/>
    <col min="72" max="72" width="13.98828125" hidden="1" customWidth="1"/>
    <col min="73" max="73" width="0.8046875" hidden="1" customWidth="1"/>
    <col min="74" max="74" width="16.0078125" hidden="1" customWidth="1"/>
    <col min="75" max="75" width="0.94140625" hidden="1" customWidth="1"/>
    <col min="76" max="76" width="16.0078125" hidden="1" customWidth="1"/>
    <col min="77" max="77" width="0.8046875" hidden="1" customWidth="1"/>
    <col min="78" max="78" width="18.0234375" hidden="1" customWidth="1"/>
    <col min="79" max="79" width="0.94140625" hidden="1" customWidth="1"/>
    <col min="80" max="80" width="13.98828125" hidden="1" customWidth="1"/>
    <col min="81" max="81" width="0.8046875" hidden="1" customWidth="1"/>
    <col min="82" max="82" width="16.0078125" hidden="1" customWidth="1"/>
    <col min="83" max="83" width="0.94140625" hidden="1" customWidth="1"/>
    <col min="84" max="84" width="16.54296875" hidden="1" customWidth="1"/>
    <col min="85" max="85" width="0.8046875" hidden="1" customWidth="1"/>
    <col min="86" max="86" width="18.5625" hidden="1" customWidth="1"/>
    <col min="87" max="87" width="0.94140625" hidden="1" customWidth="1"/>
    <col min="88" max="88" width="13.44921875" hidden="1" customWidth="1"/>
    <col min="89" max="89" width="0.8046875" hidden="1" customWidth="1"/>
    <col min="90" max="90" width="15.46875" hidden="1" customWidth="1"/>
    <col min="91" max="91" width="10.625" customWidth="1"/>
  </cols>
  <sheetData>
    <row r="4" spans="2:90" x14ac:dyDescent="0.2">
      <c r="B4" s="8" t="s">
        <v>451</v>
      </c>
    </row>
    <row r="6" spans="2:90" ht="33" x14ac:dyDescent="0.4">
      <c r="E6" s="148" t="s">
        <v>268</v>
      </c>
    </row>
    <row r="7" spans="2:90" ht="17.25" x14ac:dyDescent="0.25">
      <c r="E7" s="173" t="s">
        <v>61</v>
      </c>
    </row>
    <row r="8" spans="2:90" ht="16.5" x14ac:dyDescent="0.25">
      <c r="E8" s="131" t="s">
        <v>269</v>
      </c>
      <c r="G8" s="174" t="s">
        <v>457</v>
      </c>
    </row>
    <row r="9" spans="2:90" ht="15.75" thickBot="1" x14ac:dyDescent="0.25">
      <c r="E9" s="131"/>
    </row>
    <row r="10" spans="2:90" ht="19.5" thickBot="1" x14ac:dyDescent="0.3">
      <c r="E10" s="150" t="s">
        <v>270</v>
      </c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2"/>
      <c r="S10" s="127"/>
      <c r="T10" s="153"/>
      <c r="U10" s="154"/>
      <c r="V10" s="151" t="s">
        <v>271</v>
      </c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5"/>
    </row>
    <row r="11" spans="2:90" ht="41.25" x14ac:dyDescent="0.2">
      <c r="E11" s="8" t="s">
        <v>272</v>
      </c>
      <c r="F11" s="8"/>
      <c r="G11" s="8" t="s">
        <v>273</v>
      </c>
      <c r="H11" s="8"/>
      <c r="I11" s="143" t="s">
        <v>460</v>
      </c>
      <c r="J11" s="8"/>
      <c r="K11" s="8"/>
      <c r="L11" s="143" t="s">
        <v>274</v>
      </c>
      <c r="M11" s="8"/>
      <c r="N11" s="143" t="s">
        <v>275</v>
      </c>
      <c r="O11" s="8"/>
      <c r="P11" s="143" t="s">
        <v>276</v>
      </c>
      <c r="Q11" s="8"/>
      <c r="R11" s="149" t="s">
        <v>277</v>
      </c>
      <c r="S11" s="143"/>
      <c r="T11" s="8" t="s">
        <v>265</v>
      </c>
      <c r="U11" s="8"/>
      <c r="V11" s="8"/>
      <c r="W11" s="8"/>
      <c r="X11" s="8" t="s">
        <v>278</v>
      </c>
      <c r="Y11" s="8"/>
      <c r="Z11" s="8"/>
      <c r="AA11" s="8"/>
      <c r="AB11" s="8" t="s">
        <v>279</v>
      </c>
      <c r="AC11" s="8"/>
      <c r="AD11" s="8"/>
      <c r="AE11" s="8"/>
      <c r="AF11" s="8" t="s">
        <v>248</v>
      </c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143" t="s">
        <v>280</v>
      </c>
      <c r="AS11" s="8"/>
      <c r="AT11" s="8"/>
      <c r="AU11" s="8"/>
      <c r="AV11" s="8" t="s">
        <v>281</v>
      </c>
      <c r="AW11" s="8"/>
      <c r="AX11" s="8"/>
      <c r="AY11" s="8"/>
      <c r="AZ11" s="149" t="s">
        <v>461</v>
      </c>
      <c r="BA11" s="144"/>
      <c r="BH11" t="str" cm="1">
        <f t="array" aca="1" ref="BH11" ca="1">INDIRECT($B$4&amp;"_Tarif_applicable")&amp;"_"&amp;BF14</f>
        <v>TO_</v>
      </c>
    </row>
    <row r="12" spans="2:90" x14ac:dyDescent="0.2">
      <c r="E12" s="8"/>
      <c r="F12" s="8"/>
      <c r="G12" s="8"/>
      <c r="H12" s="8"/>
      <c r="I12" s="143"/>
      <c r="J12" s="143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 t="s">
        <v>282</v>
      </c>
      <c r="AS12" s="8"/>
      <c r="AT12" s="8"/>
      <c r="AU12" s="8"/>
      <c r="AV12" s="8"/>
      <c r="AW12" s="8"/>
      <c r="AX12" s="8"/>
      <c r="AY12" s="8"/>
      <c r="AZ12" s="8"/>
      <c r="BD12" s="122" t="s">
        <v>78</v>
      </c>
      <c r="BF12" s="122" t="s">
        <v>79</v>
      </c>
      <c r="BG12" s="122" t="s">
        <v>80</v>
      </c>
      <c r="BH12" s="122" t="s">
        <v>79</v>
      </c>
      <c r="BJ12" s="124" t="s">
        <v>81</v>
      </c>
      <c r="BL12" s="124" t="s">
        <v>82</v>
      </c>
      <c r="BN12" s="124" t="s">
        <v>83</v>
      </c>
      <c r="BP12" s="124" t="s">
        <v>84</v>
      </c>
      <c r="BR12" s="124" t="s">
        <v>85</v>
      </c>
      <c r="BT12" s="124" t="s">
        <v>86</v>
      </c>
      <c r="BV12" s="124" t="s">
        <v>87</v>
      </c>
      <c r="BX12" s="124" t="s">
        <v>88</v>
      </c>
      <c r="BZ12" s="124" t="s">
        <v>89</v>
      </c>
      <c r="CB12" s="124" t="s">
        <v>90</v>
      </c>
      <c r="CD12" s="124" t="s">
        <v>91</v>
      </c>
      <c r="CF12" s="124" t="s">
        <v>92</v>
      </c>
      <c r="CH12" s="124" t="s">
        <v>93</v>
      </c>
      <c r="CJ12" s="124" t="s">
        <v>94</v>
      </c>
      <c r="CL12" s="124" t="s">
        <v>95</v>
      </c>
    </row>
    <row r="13" spans="2:90" x14ac:dyDescent="0.2">
      <c r="E13" s="8"/>
      <c r="F13" s="8"/>
      <c r="G13" s="8"/>
      <c r="H13" s="8"/>
      <c r="I13" s="143"/>
      <c r="J13" s="143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 t="s">
        <v>283</v>
      </c>
      <c r="Y13" s="8"/>
      <c r="Z13" s="8"/>
      <c r="AA13" s="8"/>
      <c r="AB13" s="8" t="s">
        <v>284</v>
      </c>
      <c r="AC13" s="8"/>
      <c r="AD13" s="8"/>
      <c r="AE13" s="8"/>
      <c r="AF13" s="8" t="s">
        <v>285</v>
      </c>
      <c r="AG13" s="8"/>
      <c r="AH13" s="8" t="s">
        <v>286</v>
      </c>
      <c r="AI13" s="8"/>
      <c r="AJ13" s="8" t="s">
        <v>287</v>
      </c>
      <c r="AK13" s="8"/>
      <c r="AL13" s="8" t="s">
        <v>288</v>
      </c>
      <c r="AM13" s="8"/>
      <c r="AN13" s="8" t="s">
        <v>289</v>
      </c>
      <c r="AO13" s="8"/>
      <c r="AP13" s="8"/>
      <c r="AQ13" s="8"/>
      <c r="AR13" s="8" t="s">
        <v>290</v>
      </c>
      <c r="AS13" s="8"/>
      <c r="AT13" s="8"/>
      <c r="AU13" s="8"/>
      <c r="AV13" s="8"/>
      <c r="AW13" s="8"/>
      <c r="AX13" s="8"/>
      <c r="AY13" s="8"/>
      <c r="AZ13" s="8"/>
    </row>
    <row r="14" spans="2:90" ht="16.5" x14ac:dyDescent="0.25">
      <c r="B14" s="128" t="s">
        <v>291</v>
      </c>
      <c r="E14" s="129"/>
      <c r="G14" s="129"/>
      <c r="I14" s="130"/>
      <c r="J14" s="121"/>
      <c r="L14" s="136">
        <f ca="1">IF($BD14="PremInscription", T_Droits_d_entrée,0)</f>
        <v>0</v>
      </c>
      <c r="M14" s="137"/>
      <c r="N14" s="136" cm="1">
        <f t="array" aca="1" ref="N14" ca="1">_xlfn.IFS($BD14="", 0, OR($BD14="PremInscription", $BD14="RéinscriptionAprèsDépart"), T_Frais_de_Dossier,$BD14="Réinscription",T_Frais_de_réinscription)</f>
        <v>0</v>
      </c>
      <c r="O14" s="137"/>
      <c r="P14" s="138">
        <f ca="1">SUM(L14:N14)</f>
        <v>0</v>
      </c>
      <c r="Q14" s="137"/>
      <c r="R14" s="138" cm="1">
        <f t="array" aca="1" ref="R14" ca="1">IFERROR(
    ROUNDUP(
        IF(
            AND(LEFT(BH14,2)&lt;&gt;"TO",I14&gt;=6,BD14&lt;&gt;"RéinscriptionAprèsDépart"),
                (1+T_Prime_Fidélité),1)*INDIRECT(BH14)+INDIRECT("T_Livres_"&amp;BF14),
                0
        ),
    0
)</f>
        <v>0</v>
      </c>
      <c r="S14" s="137"/>
      <c r="T14" s="139"/>
      <c r="U14" s="137"/>
      <c r="V14" s="136" cm="1">
        <f t="array" aca="1" ref="V14" ca="1">IFERROR(
    IF(
        OR($E14=FR_Lycée, $E14=EN_Lycée, $E14=DE_Lycée),
            0,
            IF(T14=INDIRECT($B$4&amp;"_Oui"), 2*T_Navette_1Sem,0)
    ),
    0
)</f>
        <v>0</v>
      </c>
      <c r="W14" s="137"/>
      <c r="X14" s="140"/>
      <c r="Y14" s="137"/>
      <c r="Z14" s="136" cm="1">
        <f t="array" aca="1" ref="Z14" ca="1">IFERROR(IF(BL14="EXT",0,INDIRECT("T_Cantine_"&amp;BF14&amp;"_"&amp;BL14)),0)</f>
        <v>0</v>
      </c>
      <c r="AB14" s="129"/>
      <c r="AD14" s="136" cm="1">
        <f t="array" aca="1" ref="AD14" ca="1">IFERROR(
    IF(
        OR($E14=FR_Maternelle, $E14=EN_Maternelle, $E14=DE_Maternelle, $E14=FR_Collège, $E14=EN_Collège, $E14=DE_Collège, $E14=FR_Lycée, $E14=EN_Lycée, $E14=DE_Lycée),
            0,
            2*INDIRECT("T_Étude_dirigée_"&amp;BN14)
    ),
    0
)</f>
        <v>0</v>
      </c>
      <c r="AF14" s="130"/>
      <c r="AH14" s="130"/>
      <c r="AJ14" s="130"/>
      <c r="AL14" s="130"/>
      <c r="AN14" s="130"/>
      <c r="AP14" s="136">
        <f>IFERROR(
    IF(
        OR($E14=FR_Collège, $E14=EN_Collège, $E14=DE_Collège, $E14=FR_Lycée, $E14=EN_Lycée, $E14=DE_Lycée),
            0,
            2*CJ14*T_Garderie_1Sem_1h00 + 2*CL14*T_Garderie_1Sem_1h15
    ),
    0
)</f>
        <v>0</v>
      </c>
      <c r="AR14" s="130"/>
      <c r="AT14" s="136">
        <f>IFERROR(
    IF(
        OR($E14=FR_Collège, $E14=EN_Collège, $E14=DE_Collège, $E14=FR_Lycée, $E14=EN_Lycée, $E14=DE_Lycée),
            0,
           2* AR14*VALUE(MID(T_HTS,SEARCH(" ", T_HTS)+1,3))+N("Extraction de la valeur min dans le tarif HTS formulé 'entre X et Y CHF'")
    ),
    0
)</f>
        <v>0</v>
      </c>
      <c r="AV14" s="129"/>
      <c r="AX14" s="136" cm="1">
        <f t="array" aca="1" ref="AX14" ca="1">IFERROR(
    IF(
        OR($E14=FR_Collège, $E14=EN_Collège, $E14=DE_Collège, $E14=FR_Lycée, $E14=EN_Lycée, $E14=DE_Lycée),
            0,
            IF(
                    AV14&lt;&gt;INDIRECT($B$4&amp;"_Oui"),
                    0,
                    2*T_Mercredis_récréatifs
            )
    ),
    0
)</f>
        <v>0</v>
      </c>
      <c r="AZ14" s="138">
        <f ca="1">SUM(P14,R14,V14,Z14,AD14,AP14,AT14,AX14)</f>
        <v>0</v>
      </c>
      <c r="BD14" s="122" t="str">
        <f ca="1">IFERROR(VLOOKUP(G14,INDIRECT($B$4&amp;"_Inscription_Lookup"),2,FALSE),"")</f>
        <v/>
      </c>
      <c r="BF14" s="122" t="str">
        <f ca="1">IFERROR(VLOOKUP(E14,INDIRECT($B$4&amp;"_Niveaux_Lookup"),2,FALSE),"")</f>
        <v/>
      </c>
      <c r="BG14" s="122" t="str" cm="1">
        <f t="array" aca="1" ref="BG14" ca="1">IF(E14="","",INDIRECT($B$4&amp;"_Tarif_applicable")&amp;"_"&amp;BF14)</f>
        <v/>
      </c>
      <c r="BH14" s="122" t="str" cm="1">
        <f t="array" aca="1" ref="BH14" ca="1">IFERROR(
    IF(
        LEFT(BG14,2)="TO", BG14,
        _xlfn.IFS(
            AND(LEFT(BG14,5)="TR123",INDIRECT($B$4&amp;"_Nombre_Enfants_à_scolariser")=1), "TR1_"&amp;TEXT(BF14,""),
            AND(LEFT(BG14,5)="TR123",INDIRECT($B$4&amp;"_Nombre_Enfants_à_scolariser")=2), "TR2_"&amp;TEXT(BF14,""),
            AND(LEFT(BG14,5)="TR123",INDIRECT($B$4&amp;"_Nombre_Enfants_à_scolariser")&gt;=3), "TR3_"&amp;TEXT(BF14,""),
            AND(LEFT(BG14,5)="TR456",INDIRECT($B$4&amp;"_Nombre_Enfants_à_scolariser")=1), "TR4_"&amp;TEXT(BF14,""),
            AND(LEFT(BG14,5)="TR456",INDIRECT($B$4&amp;"_Nombre_Enfants_à_scolariser")=2), "TR5_"&amp;TEXT(BF14,""),
            AND(LEFT(BG14,5)="TR456",INDIRECT($B$4&amp;"_Nombre_Enfants_à_scolariser")&gt;=3), "TR6_"&amp;TEXT(BF14,"")
        )
    ),
    ""
)</f>
        <v/>
      </c>
      <c r="BJ14" s="124" t="str" cm="1">
        <f t="array" aca="1" ref="BJ14" ca="1">IFERROR(_xlfn.IFS(
    E14=INDIRECT($B$4&amp;"_Maternelle"),($B$4&amp;"_Régime_Cantine_Maternelle"),
    E14=INDIRECT($B$4&amp;"_Élémentaire"),($B$4&amp;"_Régime_Cantine_Élémentaire"),
    E14=INDIRECT($B$4&amp;"_Collège"),($B$4&amp;"_Régime_Cantine_Collège_Lycée"),
    E14=INDIRECT($B$4&amp;"_Lycée"),($B$4&amp;"_Régime_Cantine_Collège_Lycée")
), "")</f>
        <v/>
      </c>
      <c r="BL14" s="124" t="str">
        <f ca="1">IFERROR(VLOOKUP(X14,INDIRECT($B$4&amp;"_Cantine_Lookup"),2,FALSE),"")</f>
        <v/>
      </c>
      <c r="BN14" s="124" t="str">
        <f ca="1">IFERROR(VLOOKUP(AB14,INDIRECT($B$4&amp;"_Étude_dirigée_Lookup"),2,FALSE),"")</f>
        <v/>
      </c>
      <c r="BP14" s="124">
        <f>IFERROR(VLOOKUP(AF14,Garderie_Lundi_VLOOKUP,2,FALSE),0)</f>
        <v>0</v>
      </c>
      <c r="BR14" s="124">
        <f>IFERROR(VLOOKUP(AF14,Garderie_Lundi_VLOOKUP,3,FALSE),0)</f>
        <v>0</v>
      </c>
      <c r="BT14" s="124">
        <f>IFERROR(VLOOKUP(AH14,Garderie_Mardi_VLOOKUP,2,FALSE),0)</f>
        <v>0</v>
      </c>
      <c r="BV14" s="124">
        <f>IFERROR(VLOOKUP(AH14,Garderie_Mardi_VLOOKUP,3,FALSE),0)</f>
        <v>0</v>
      </c>
      <c r="BX14" s="124">
        <f>IFERROR(VLOOKUP(AJ14,Garderie_Mercredi_VLOOKUP,2,FALSE),0)</f>
        <v>0</v>
      </c>
      <c r="BZ14" s="124">
        <f>IFERROR(VLOOKUP(AJ14,Garderie_Mercredi_VLOOKUP,3,FALSE),0)</f>
        <v>0</v>
      </c>
      <c r="CB14" s="124">
        <f>IFERROR(VLOOKUP(AL14,Garderie_Jeudi_VLOOKUP,2,FALSE),0)</f>
        <v>0</v>
      </c>
      <c r="CD14" s="124">
        <f>IFERROR(VLOOKUP(AL14,Garderie_Jeudi_VLOOKUP,3,FALSE),0)</f>
        <v>0</v>
      </c>
      <c r="CF14" s="124">
        <f>IFERROR(VLOOKUP(AN14,Garderie_Vendredi_VLOOKUP,2,FALSE),0)</f>
        <v>0</v>
      </c>
      <c r="CH14" s="124">
        <f>IFERROR(VLOOKUP(AN14,Garderie_Vendredi_VLOOKUP,3,FALSE),0)</f>
        <v>0</v>
      </c>
      <c r="CJ14" s="124">
        <f>IFERROR(SUM(BP14,BT14,BX14,CB14,CF14),0)</f>
        <v>0</v>
      </c>
      <c r="CL14" s="124">
        <f>IFERROR(SUM(BR14,BV14,BZ14,CD14,CH14),0)</f>
        <v>0</v>
      </c>
    </row>
    <row r="15" spans="2:90" x14ac:dyDescent="0.2">
      <c r="I15" s="8"/>
      <c r="J15" s="121"/>
      <c r="L15" s="137"/>
      <c r="M15" s="137"/>
      <c r="N15" s="137"/>
      <c r="O15" s="137"/>
      <c r="P15" s="137"/>
      <c r="Q15" s="137"/>
      <c r="R15" s="137"/>
      <c r="S15" s="137"/>
      <c r="T15" s="259" t="str" cm="1">
        <f t="array" aca="1" ref="T15" ca="1">IFERROR(
    IF(
        AND(
           T14=INDIRECT($B$4&amp;"_Oui"),
          OR($E14=FR_Lycée,$E14=EN_Lycée,$E14=DE_Lycée)
        ),
        INDIRECT($B$4&amp;"_ERR_Non_proposé_pour_lycée"),
       ""
    ),
    ""
)</f>
        <v/>
      </c>
      <c r="U15" s="259"/>
      <c r="V15" s="259"/>
      <c r="W15" s="137"/>
      <c r="X15" s="137"/>
      <c r="Y15" s="137"/>
      <c r="Z15" s="137"/>
      <c r="AB15" s="257" t="str" cm="1">
        <f t="array" aca="1" ref="AB15" ca="1">IF(
    AND(
         AB14&gt;0,
         OR($E14=FR_Maternelle,$E14=EN_Maternelle,$E14=DE_Maternelle,$E14=FR_Collège,$E14=EN_Collège,$E14=DE_Collège,$E14=FR_Lycée,$E14=EN_Lycée,$E14=DE_Lycée)
    ),
        INDIRECT($B$4&amp;"_ERR_Seulement_pour_élémentaire"),
        ""
)</f>
        <v/>
      </c>
      <c r="AC15" s="257"/>
      <c r="AD15" s="257"/>
      <c r="AM15" s="258" t="str" cm="1">
        <f t="array" aca="1" ref="AM15" ca="1">IF(
    AND(
         OR($AF14&gt;0,$AH14&gt;0,$AJ14&gt;0,$AL14&gt;0,$AN14&gt;0),
         OR($E14=FR_Collège,$E14=EN_Collège,$E14=DE_Collège,$E14=FR_Lycée,$E14=EN_Lycée,$E14=DE_Lycée)
    ),
        INDIRECT($B$4&amp;"_ERR_Non_proposé_pour_secondaire"),
        ""
)</f>
        <v/>
      </c>
      <c r="AN15" s="258"/>
      <c r="AO15" s="258"/>
      <c r="AP15" s="258"/>
      <c r="AR15" s="257" t="str" cm="1">
        <f t="array" aca="1" ref="AR15" ca="1">IF(
    AND(
        AR14&gt;0,
        OR($E14=FR_Collège, $E14=EN_Collège, $E14=DE_Collège, $E14=FR_Lycée, $E14=EN_Lycée, $E14=DE_Lycée)
    ),
     INDIRECT($B$4&amp;"_ERR_Non_proposé_pour_secondaire"),
    ""
)</f>
        <v/>
      </c>
      <c r="AS15" s="257"/>
      <c r="AT15" s="257"/>
      <c r="AV15" s="257" t="str" cm="1">
        <f t="array" aca="1" ref="AV15" ca="1">IFERROR(
    IF(
        AND(
            AV14=INDIRECT($B$4&amp;"_Oui"),
            OR($E14=FR_Collège, $E14=EN_Collège, $E14=DE_Collège, $E14=FR_Lycée, $E14=EN_Lycée, $E14=DE_Lycée)
       ),
         INDIRECT($B$4&amp;"_ERR_Non_proposé_pour_secondaire"),
        ""
    ),
    ""
)</f>
        <v/>
      </c>
      <c r="AW15" s="257"/>
      <c r="AX15" s="257"/>
      <c r="AZ15" s="137"/>
    </row>
    <row r="16" spans="2:90" ht="16.5" x14ac:dyDescent="0.25">
      <c r="B16" s="128" t="s">
        <v>293</v>
      </c>
      <c r="E16" s="129"/>
      <c r="G16" s="129"/>
      <c r="I16" s="130"/>
      <c r="J16" s="121"/>
      <c r="L16" s="136">
        <f ca="1">IF($BD16="PremInscription", T_Droits_d_entrée,0)</f>
        <v>0</v>
      </c>
      <c r="M16" s="137"/>
      <c r="N16" s="136" cm="1">
        <f t="array" aca="1" ref="N16" ca="1">_xlfn.IFS($BD16="", 0, OR($BD16="PremInscription", $BD16="RéinscriptionAprèsDépart"), T_Frais_de_Dossier,$BD16="Réinscription",T_Frais_de_réinscription)</f>
        <v>0</v>
      </c>
      <c r="O16" s="137"/>
      <c r="P16" s="138">
        <f ca="1">SUM(L16:N16)</f>
        <v>0</v>
      </c>
      <c r="Q16" s="137"/>
      <c r="R16" s="138" cm="1">
        <f t="array" aca="1" ref="R16" ca="1">IFERROR(
    ROUNDUP(
        IF(
            AND(LEFT(BH16,2)&lt;&gt;"TO",I16&gt;=6,BD16&lt;&gt;"RéinscriptionAprèsDépart"),
                (1+T_Prime_Fidélité),1)*INDIRECT(BH16)+INDIRECT("T_Livres_"&amp;BF16),
                0
        ),
    0
)</f>
        <v>0</v>
      </c>
      <c r="S16" s="137"/>
      <c r="T16" s="139"/>
      <c r="U16" s="137"/>
      <c r="V16" s="136" cm="1">
        <f t="array" aca="1" ref="V16" ca="1">IFERROR(
    IF(
        OR($E16=FR_Lycée, $E16=EN_Lycée, $E16=DE_Lycée),
            0,
            IF(T16=INDIRECT($B$4&amp;"_Oui"), 2*T_Navette_1Sem,0)
    ),
    0
)</f>
        <v>0</v>
      </c>
      <c r="W16" s="137"/>
      <c r="X16" s="140"/>
      <c r="Y16" s="137"/>
      <c r="Z16" s="136" cm="1">
        <f t="array" aca="1" ref="Z16" ca="1">IFERROR(IF(BL16="EXT",0,INDIRECT("T_Cantine_"&amp;BF16&amp;"_"&amp;BL16)),0)</f>
        <v>0</v>
      </c>
      <c r="AB16" s="129"/>
      <c r="AD16" s="136" cm="1">
        <f t="array" aca="1" ref="AD16" ca="1">IFERROR(
    IF(
        OR($E16=FR_Maternelle, $E16=EN_Maternelle, $E16=DE_Maternelle, $E16=FR_Collège, $E16=EN_Collège, $E16=DE_Collège, $E16=FR_Lycée, $E16=EN_Lycée, $E16=DE_Lycée),
            0,
            2*INDIRECT("T_Étude_dirigée_"&amp;BN16)
    ),
    0
)</f>
        <v>0</v>
      </c>
      <c r="AF16" s="130"/>
      <c r="AH16" s="130"/>
      <c r="AJ16" s="130"/>
      <c r="AL16" s="130"/>
      <c r="AN16" s="130"/>
      <c r="AP16" s="136">
        <f>IFERROR(
    IF(
        OR($E16=FR_Collège, $E16=EN_Collège, $E16=DE_Collège, $E16=FR_Lycée, $E16=EN_Lycée, $E16=DE_Lycée),
            0,
            2*CJ16*T_Garderie_1Sem_1h00 + 2*CL16*T_Garderie_1Sem_1h15
    ),
    0
)</f>
        <v>0</v>
      </c>
      <c r="AR16" s="130"/>
      <c r="AT16" s="136">
        <f>IFERROR(
    IF(
        OR($E16=FR_Collège, $E16=EN_Collège, $E16=DE_Collège, $E16=FR_Lycée, $E16=EN_Lycée, $E16=DE_Lycée),
            0,
           2* AR16*VALUE(MID(T_HTS,SEARCH(" ", T_HTS)+1,3))+N("Extraction de la valeur min dans le tarif HTS formulé 'entre X et Y CHF'")
    ),
    0
)</f>
        <v>0</v>
      </c>
      <c r="AV16" s="129"/>
      <c r="AX16" s="136" cm="1">
        <f t="array" aca="1" ref="AX16" ca="1">IFERROR(
    IF(
        OR($E16=FR_Collège, $E16=EN_Collège, $E16=DE_Collège, $E16=FR_Lycée, $E16=EN_Lycée, $E16=DE_Lycée),
            0,
            IF(
                    AW16&lt;&gt;INDIRECT($B$4&amp;"_Oui"),
                    0,
                    2*T_Mercredis_récréatifs
            )
    ),
    0
)</f>
        <v>0</v>
      </c>
      <c r="AZ16" s="138">
        <f ca="1">SUM(P16,R16,V16,Z16,AD16,AP16,AT16,AW16)</f>
        <v>0</v>
      </c>
      <c r="BD16" s="122" t="str">
        <f ca="1">IFERROR(VLOOKUP(G16,INDIRECT($B$4&amp;"_Inscription_Lookup"),2,FALSE),"")</f>
        <v/>
      </c>
      <c r="BF16" s="122" t="str">
        <f ca="1">IFERROR(VLOOKUP(E16,INDIRECT($B$4&amp;"_Niveaux_Lookup"),2,FALSE),"")</f>
        <v/>
      </c>
      <c r="BG16" s="122" t="str" cm="1">
        <f t="array" aca="1" ref="BG16" ca="1">IF(E16="","",INDIRECT($B$4&amp;"_Tarif_applicable")&amp;"_"&amp;BF16)</f>
        <v/>
      </c>
      <c r="BH16" s="122" t="str" cm="1">
        <f t="array" aca="1" ref="BH16" ca="1">IFERROR(
    IF(
        LEFT(BG16,2)="TO", BG16,
        _xlfn.IFS(
            AND(LEFT(BG16,5)="TR123",INDIRECT($B$4&amp;"_Nombre_Enfants_à_scolariser")=1), "TR1_"&amp;TEXT(BF16,""),
            AND(LEFT(BG16,5)="TR123",INDIRECT($B$4&amp;"_Nombre_Enfants_à_scolariser")=2), "TR2_"&amp;TEXT(BF16,""),
            AND(LEFT(BG16,5)="TR123",INDIRECT($B$4&amp;"_Nombre_Enfants_à_scolariser")&gt;=3), "TR3_"&amp;TEXT(BF16,""),
            AND(LEFT(BG16,5)="TR456",INDIRECT($B$4&amp;"_Nombre_Enfants_à_scolariser")=1), "TR4_"&amp;TEXT(BF16,""),
            AND(LEFT(BG16,5)="TR456",INDIRECT($B$4&amp;"_Nombre_Enfants_à_scolariser")=2), "TR5_"&amp;TEXT(BF16,""),
            AND(LEFT(BG16,5)="TR456",INDIRECT($B$4&amp;"_Nombre_Enfants_à_scolariser")&gt;=3), "TR6_"&amp;TEXT(BF16,"")
        )
    ),
    ""
)</f>
        <v/>
      </c>
      <c r="BJ16" s="124" t="str" cm="1">
        <f t="array" aca="1" ref="BJ16" ca="1">IFERROR(_xlfn.IFS(
    E16=INDIRECT($B$4&amp;"_Maternelle"),($B$4&amp;"_Régime_Cantine_Maternelle"),
    E16=INDIRECT($B$4&amp;"_Élémentaire"),($B$4&amp;"_Régime_Cantine_Élémentaire"),
    E16=INDIRECT($B$4&amp;"_Collège"),($B$4&amp;"_Régime_Cantine_Collège_Lycée"),
    E16=INDIRECT($B$4&amp;"_Lycée"),($B$4&amp;"_Régime_Cantine_Collège_Lycée")
), "")</f>
        <v/>
      </c>
      <c r="BL16" s="124" t="str">
        <f ca="1">IFERROR(VLOOKUP(X16,INDIRECT($B$4&amp;"_Cantine_Lookup"),2,FALSE),"")</f>
        <v/>
      </c>
      <c r="BN16" s="124" t="str">
        <f ca="1">IFERROR(VLOOKUP(AB16,INDIRECT($B$4&amp;"_Étude_dirigée_Lookup"),2,FALSE),"")</f>
        <v/>
      </c>
      <c r="BP16" s="124">
        <f>IFERROR(VLOOKUP(AF16,Garderie_Lundi_VLOOKUP,2,FALSE),0)</f>
        <v>0</v>
      </c>
      <c r="BR16" s="124">
        <f>IFERROR(VLOOKUP(AF16,Garderie_Lundi_VLOOKUP,3,FALSE),0)</f>
        <v>0</v>
      </c>
      <c r="BT16" s="124">
        <f>IFERROR(VLOOKUP(AH16,Garderie_Mardi_VLOOKUP,2,FALSE),0)</f>
        <v>0</v>
      </c>
      <c r="BV16" s="124">
        <f>IFERROR(VLOOKUP(AH16,Garderie_Mardi_VLOOKUP,3,FALSE),0)</f>
        <v>0</v>
      </c>
      <c r="BX16" s="124">
        <f>IFERROR(VLOOKUP(AJ16,Garderie_Mercredi_VLOOKUP,2,FALSE),0)</f>
        <v>0</v>
      </c>
      <c r="BZ16" s="124">
        <f>IFERROR(VLOOKUP(AJ16,Garderie_Mercredi_VLOOKUP,3,FALSE),0)</f>
        <v>0</v>
      </c>
      <c r="CB16" s="124">
        <f>IFERROR(VLOOKUP(AL16,Garderie_Jeudi_VLOOKUP,2,FALSE),0)</f>
        <v>0</v>
      </c>
      <c r="CD16" s="124">
        <f>IFERROR(VLOOKUP(AL16,Garderie_Jeudi_VLOOKUP,3,FALSE),0)</f>
        <v>0</v>
      </c>
      <c r="CF16" s="124">
        <f>IFERROR(VLOOKUP(AN16,Garderie_Vendredi_VLOOKUP,2,FALSE),0)</f>
        <v>0</v>
      </c>
      <c r="CH16" s="124">
        <f>IFERROR(VLOOKUP(AN16,Garderie_Vendredi_VLOOKUP,3,FALSE),0)</f>
        <v>0</v>
      </c>
      <c r="CJ16" s="124">
        <f>IFERROR(SUM(BP16,BT16,BX16,CB16,CF16),0)</f>
        <v>0</v>
      </c>
      <c r="CL16" s="124">
        <f>IFERROR(SUM(BR16,BV16,BZ16,CD16,CH16),0)</f>
        <v>0</v>
      </c>
    </row>
    <row r="17" spans="2:90" x14ac:dyDescent="0.2">
      <c r="I17" s="8"/>
      <c r="J17" s="121"/>
      <c r="L17" s="137"/>
      <c r="M17" s="137"/>
      <c r="N17" s="137"/>
      <c r="O17" s="137"/>
      <c r="P17" s="137"/>
      <c r="Q17" s="137"/>
      <c r="R17" s="137"/>
      <c r="S17" s="137"/>
      <c r="T17" s="259" t="str" cm="1">
        <f t="array" aca="1" ref="T17" ca="1">IFERROR(
    IF(
        AND(
           T16=INDIRECT($B$4&amp;"_Oui"),
          OR($E16=FR_Lycée,$E16=EN_Lycée,$E16=DE_Lycée)
        ),
        INDIRECT($B$4&amp;"_ERR_Non_proposé_pour_lycée"),
       ""
    ),
    ""
)</f>
        <v/>
      </c>
      <c r="U17" s="259"/>
      <c r="V17" s="259"/>
      <c r="W17" s="137"/>
      <c r="X17" s="137"/>
      <c r="Y17" s="137"/>
      <c r="Z17" s="137"/>
      <c r="AB17" s="257" t="str" cm="1">
        <f t="array" aca="1" ref="AB17" ca="1">IF(
    AND(
         AB16&gt;0,
         OR($E16=FR_Maternelle,$E16=EN_Maternelle,$E16=DE_Maternelle,$E16=FR_Collège,$E16=EN_Collège,$E16=DE_Collège,$E16=FR_Lycée,$E16=EN_Lycée,$E16=DE_Lycée)
    ),
        INDIRECT($B$4&amp;"_ERR_Seulement_pour_élémentaire"),
        ""
)</f>
        <v/>
      </c>
      <c r="AC17" s="257"/>
      <c r="AD17" s="257"/>
      <c r="AM17" s="258" t="str" cm="1">
        <f t="array" aca="1" ref="AM17" ca="1">IF(
    AND(
         OR($AF16&gt;0,$AH16&gt;0,$AJ16&gt;0,$AL16&gt;0,$AN16&gt;0),
         OR($E16=FR_Collège,$E16=EN_Collège,$E16=DE_Collège,$E16=FR_Lycée,$E16=EN_Lycée,$E16=DE_Lycée)
    ),
        INDIRECT($B$4&amp;"_ERR_Non_proposé_pour_secondaire"),
        ""
)</f>
        <v/>
      </c>
      <c r="AN17" s="258"/>
      <c r="AO17" s="258"/>
      <c r="AP17" s="258"/>
      <c r="AR17" s="257" t="str" cm="1">
        <f t="array" aca="1" ref="AR17" ca="1">IF(
    AND(
        AR16&gt;0,
        OR($E16=FR_Collège, $E16=EN_Collège, $E16=DE_Collège, $E16=FR_Lycée, $E16=EN_Lycée, $E16=DE_Lycée)
    ),
     INDIRECT($B$4&amp;"_ERR_Non_proposé_pour_secondaire"),
    ""
)</f>
        <v/>
      </c>
      <c r="AS17" s="257"/>
      <c r="AT17" s="257"/>
      <c r="AV17" s="257" t="str" cm="1">
        <f t="array" aca="1" ref="AV17" ca="1">IFERROR(
    IF(
        AND(
            AV16=INDIRECT($B$4&amp;"_Oui"),
            OR($E16=FR_Collège, $E16=EN_Collège, $E16=DE_Collège, $E16=FR_Lycée, $E16=EN_Lycée, $E16=DE_Lycée)
       ),
         INDIRECT($B$4&amp;"_ERR_Non_proposé_pour_secondaire"),
        ""
    ),
    ""
)</f>
        <v/>
      </c>
      <c r="AW17" s="257"/>
      <c r="AX17" s="257"/>
      <c r="AZ17" s="137"/>
    </row>
    <row r="18" spans="2:90" ht="16.5" x14ac:dyDescent="0.25">
      <c r="B18" s="128" t="s">
        <v>295</v>
      </c>
      <c r="E18" s="129"/>
      <c r="G18" s="129"/>
      <c r="I18" s="130"/>
      <c r="J18" s="121"/>
      <c r="L18" s="136">
        <f ca="1">IF($BD18="PremInscription", T_Droits_d_entrée,0)</f>
        <v>0</v>
      </c>
      <c r="M18" s="137"/>
      <c r="N18" s="136" cm="1">
        <f t="array" aca="1" ref="N18" ca="1">_xlfn.IFS($BD18="", 0, OR($BD18="PremInscription", $BD18="RéinscriptionAprèsDépart"), T_Frais_de_Dossier,$BD18="Réinscription",T_Frais_de_réinscription)</f>
        <v>0</v>
      </c>
      <c r="O18" s="137"/>
      <c r="P18" s="138">
        <f ca="1">SUM(L18:N18)</f>
        <v>0</v>
      </c>
      <c r="Q18" s="137"/>
      <c r="R18" s="138" cm="1">
        <f t="array" aca="1" ref="R18" ca="1">IFERROR(
    ROUNDUP(
        IF(
            AND(LEFT(BH18,2)&lt;&gt;"TO",I18&gt;=6,BD18&lt;&gt;"RéinscriptionAprèsDépart"),
                (1+T_Prime_Fidélité),1)*INDIRECT(BH18)+INDIRECT("T_Livres_"&amp;BF18),
                0
        ),
    0
)</f>
        <v>0</v>
      </c>
      <c r="S18" s="137"/>
      <c r="T18" s="139"/>
      <c r="U18" s="137"/>
      <c r="V18" s="136" cm="1">
        <f t="array" aca="1" ref="V18" ca="1">IFERROR(
    IF(
        OR($E18=FR_Lycée, $E18=EN_Lycée, $E18=DE_Lycée),
            0,
            IF(T18=INDIRECT($B$4&amp;"_Oui"), 2*T_Navette_1Sem,0)
    ),
    0
)</f>
        <v>0</v>
      </c>
      <c r="W18" s="137"/>
      <c r="X18" s="140"/>
      <c r="Y18" s="137"/>
      <c r="Z18" s="136" cm="1">
        <f t="array" aca="1" ref="Z18" ca="1">IFERROR(IF(BL18="EXT",0,INDIRECT("T_Cantine_"&amp;BF18&amp;"_"&amp;BL18)),0)</f>
        <v>0</v>
      </c>
      <c r="AB18" s="129"/>
      <c r="AD18" s="136" cm="1">
        <f t="array" aca="1" ref="AD18" ca="1">IFERROR(
    IF(
        OR($E18=FR_Maternelle, $E18=EN_Maternelle, $E18=DE_Maternelle, $E18=FR_Collège, $E18=EN_Collège, $E18=DE_Collège, $E18=FR_Lycée, $E18=EN_Lycée, $E18=DE_Lycée),
            0,
            2*INDIRECT("T_Étude_dirigée_"&amp;BN18)
    ),
    0
)</f>
        <v>0</v>
      </c>
      <c r="AF18" s="130"/>
      <c r="AH18" s="130"/>
      <c r="AJ18" s="130"/>
      <c r="AL18" s="130"/>
      <c r="AN18" s="130"/>
      <c r="AP18" s="136">
        <f>IFERROR(
    IF(
        OR($E18=FR_Collège, $E18=EN_Collège, $E18=DE_Collège, $E18=FR_Lycée, $E18=EN_Lycée, $E18=DE_Lycée),
            0,
            2*CJ18*T_Garderie_1Sem_1h00 + 2*CL18*T_Garderie_1Sem_1h15
    ),
    0
)</f>
        <v>0</v>
      </c>
      <c r="AR18" s="130"/>
      <c r="AT18" s="136">
        <f>IFERROR(
    IF(
        OR($E18=FR_Collège, $E18=EN_Collège, $E18=DE_Collège, $E18=FR_Lycée, $E18=EN_Lycée, $E18=DE_Lycée),
            0,
           2* AR18*VALUE(MID(T_HTS,SEARCH(" ", T_HTS)+1,3))+N("Extraction de la valeur min dans le tarif HTS formulé 'entre X et Y CHF'")
    ),
    0
)</f>
        <v>0</v>
      </c>
      <c r="AV18" s="129"/>
      <c r="AX18" s="136" cm="1">
        <f t="array" aca="1" ref="AX18" ca="1">IFERROR(
    IF(
        OR($E18=FR_Collège, $E18=EN_Collège, $E18=DE_Collège, $E18=FR_Lycée, $E18=EN_Lycée, $E18=DE_Lycée),
            0,
            IF(
                    AV18&lt;&gt;INDIRECT($B$4&amp;"_Oui"),
                    0,
                    2*T_Mercredis_récréatifs
            )
    ),
    0
)</f>
        <v>0</v>
      </c>
      <c r="AZ18" s="138">
        <f ca="1">SUM(P18,R18,V18,Z18,AD18,AP18,AT18,AX18)</f>
        <v>0</v>
      </c>
      <c r="BD18" s="122" t="str">
        <f ca="1">IFERROR(VLOOKUP(G18,INDIRECT($B$4&amp;"_Inscription_Lookup"),2,FALSE),"")</f>
        <v/>
      </c>
      <c r="BF18" s="122" t="str">
        <f ca="1">IFERROR(VLOOKUP(E18,INDIRECT($B$4&amp;"_Niveaux_Lookup"),2,FALSE),"")</f>
        <v/>
      </c>
      <c r="BG18" s="122" t="str" cm="1">
        <f t="array" aca="1" ref="BG18" ca="1">IF(E18="","",INDIRECT($B$4&amp;"_Tarif_applicable")&amp;"_"&amp;BF18)</f>
        <v/>
      </c>
      <c r="BH18" s="122" t="str" cm="1">
        <f t="array" aca="1" ref="BH18" ca="1">IFERROR(
    IF(
        LEFT(BG18,2)="TO", BG18,
        _xlfn.IFS(
            AND(LEFT(BG18,5)="TR123",INDIRECT($B$4&amp;"_Nombre_Enfants_à_scolariser")=1), "TR1_"&amp;TEXT(BF18,""),
            AND(LEFT(BG18,5)="TR123",INDIRECT($B$4&amp;"_Nombre_Enfants_à_scolariser")=2), "TR2_"&amp;TEXT(BF18,""),
            AND(LEFT(BG18,5)="TR123",INDIRECT($B$4&amp;"_Nombre_Enfants_à_scolariser")&gt;=3), "TR3_"&amp;TEXT(BF18,""),
            AND(LEFT(BG18,5)="TR456",INDIRECT($B$4&amp;"_Nombre_Enfants_à_scolariser")=1), "TR4_"&amp;TEXT(BF18,""),
            AND(LEFT(BG18,5)="TR456",INDIRECT($B$4&amp;"_Nombre_Enfants_à_scolariser")=2), "TR5_"&amp;TEXT(BF18,""),
            AND(LEFT(BG18,5)="TR456",INDIRECT($B$4&amp;"_Nombre_Enfants_à_scolariser")&gt;=3), "TR6_"&amp;TEXT(BF18,"")
        )
    ),
    ""
)</f>
        <v/>
      </c>
      <c r="BJ18" s="124" t="str" cm="1">
        <f t="array" aca="1" ref="BJ18" ca="1">IFERROR(_xlfn.IFS(
    E18=INDIRECT($B$4&amp;"_Maternelle"),($B$4&amp;"_Régime_Cantine_Maternelle"),
    E18=INDIRECT($B$4&amp;"_Élémentaire"),($B$4&amp;"_Régime_Cantine_Élémentaire"),
    E18=INDIRECT($B$4&amp;"_Collège"),($B$4&amp;"_Régime_Cantine_Collège_Lycée"),
    E18=INDIRECT($B$4&amp;"_Lycée"),($B$4&amp;"_Régime_Cantine_Collège_Lycée")
), "")</f>
        <v/>
      </c>
      <c r="BL18" s="124" t="str">
        <f ca="1">IFERROR(VLOOKUP(X18,INDIRECT($B$4&amp;"_Cantine_Lookup"),2,FALSE),"")</f>
        <v/>
      </c>
      <c r="BN18" s="124" t="str">
        <f ca="1">IFERROR(VLOOKUP(AB18,INDIRECT($B$4&amp;"_Étude_dirigée_Lookup"),2,FALSE),"")</f>
        <v/>
      </c>
      <c r="BP18" s="124">
        <f>IFERROR(VLOOKUP(AF18,Garderie_Lundi_VLOOKUP,2,FALSE),0)</f>
        <v>0</v>
      </c>
      <c r="BR18" s="124">
        <f>IFERROR(VLOOKUP(AF18,Garderie_Lundi_VLOOKUP,3,FALSE),0)</f>
        <v>0</v>
      </c>
      <c r="BT18" s="124">
        <f>IFERROR(VLOOKUP(AH18,Garderie_Mardi_VLOOKUP,2,FALSE),0)</f>
        <v>0</v>
      </c>
      <c r="BV18" s="124">
        <f>IFERROR(VLOOKUP(AH18,Garderie_Mardi_VLOOKUP,3,FALSE),0)</f>
        <v>0</v>
      </c>
      <c r="BX18" s="124">
        <f>IFERROR(VLOOKUP(AJ18,Garderie_Mercredi_VLOOKUP,2,FALSE),0)</f>
        <v>0</v>
      </c>
      <c r="BZ18" s="124">
        <f>IFERROR(VLOOKUP(AJ18,Garderie_Mercredi_VLOOKUP,3,FALSE),0)</f>
        <v>0</v>
      </c>
      <c r="CB18" s="124">
        <f>IFERROR(VLOOKUP(AL18,Garderie_Jeudi_VLOOKUP,2,FALSE),0)</f>
        <v>0</v>
      </c>
      <c r="CD18" s="124">
        <f>IFERROR(VLOOKUP(AL18,Garderie_Jeudi_VLOOKUP,3,FALSE),0)</f>
        <v>0</v>
      </c>
      <c r="CF18" s="124">
        <f>IFERROR(VLOOKUP(AN18,Garderie_Vendredi_VLOOKUP,2,FALSE),0)</f>
        <v>0</v>
      </c>
      <c r="CH18" s="124">
        <f>IFERROR(VLOOKUP(AN18,Garderie_Vendredi_VLOOKUP,3,FALSE),0)</f>
        <v>0</v>
      </c>
      <c r="CJ18" s="124">
        <f>IFERROR(SUM(BP18,BT18,BX18,CB18,CF18),0)</f>
        <v>0</v>
      </c>
      <c r="CL18" s="124">
        <f>IFERROR(SUM(BR18,BV18,BZ18,CD18,CH18),0)</f>
        <v>0</v>
      </c>
    </row>
    <row r="19" spans="2:90" x14ac:dyDescent="0.2">
      <c r="I19" s="8"/>
      <c r="J19" s="121"/>
      <c r="L19" s="137"/>
      <c r="M19" s="137"/>
      <c r="N19" s="137"/>
      <c r="O19" s="137"/>
      <c r="P19" s="137"/>
      <c r="Q19" s="137"/>
      <c r="R19" s="137"/>
      <c r="S19" s="137"/>
      <c r="T19" s="259" t="str" cm="1">
        <f t="array" aca="1" ref="T19" ca="1">IFERROR(
    IF(
        AND(
           T18=INDIRECT($B$4&amp;"_Oui"),
          OR($E18=FR_Lycée,$E18=EN_Lycée,$E18=DE_Lycée)
        ),
        INDIRECT($B$4&amp;"_ERR_Non_proposé_pour_lycée"),
       ""
    ),
    ""
)</f>
        <v/>
      </c>
      <c r="U19" s="259"/>
      <c r="V19" s="259"/>
      <c r="W19" s="137"/>
      <c r="X19" s="137"/>
      <c r="Y19" s="137"/>
      <c r="Z19" s="137"/>
      <c r="AB19" s="257" t="str" cm="1">
        <f t="array" aca="1" ref="AB19" ca="1">IF(
    AND(
         AB18&gt;0,
         OR($E18=FR_Maternelle,$E18=EN_Maternelle,$E18=DE_Maternelle,$E18=FR_Collège,$E18=EN_Collège,$E18=DE_Collège,$E18=FR_Lycée,$E18=EN_Lycée,$E18=DE_Lycée)
    ),
        INDIRECT($B$4&amp;"_ERR_Seulement_pour_élémentaire"),
        ""
)</f>
        <v/>
      </c>
      <c r="AC19" s="257"/>
      <c r="AD19" s="257"/>
      <c r="AM19" s="258" t="str" cm="1">
        <f t="array" aca="1" ref="AM19" ca="1">IF(
    AND(
         OR($AF18&gt;0,$AH18&gt;0,$AJ18&gt;0,$AL18&gt;0,$AN18&gt;0),
         OR($E18=FR_Collège,$E18=EN_Collège,$E18=DE_Collège,$E18=FR_Lycée,$E18=EN_Lycée,$E18=DE_Lycée)
    ),
        INDIRECT($B$4&amp;"_ERR_Non_proposé_pour_secondaire"),
        ""
)</f>
        <v/>
      </c>
      <c r="AN19" s="258"/>
      <c r="AO19" s="258"/>
      <c r="AP19" s="258"/>
      <c r="AR19" s="257" t="str" cm="1">
        <f t="array" aca="1" ref="AR19" ca="1">IF(
    AND(
        AR18&gt;0,
        OR($E18=FR_Collège, $E18=EN_Collège, $E18=DE_Collège, $E18=FR_Lycée, $E18=EN_Lycée, $E18=DE_Lycée)
    ),
     INDIRECT($B$4&amp;"_ERR_Non_proposé_pour_secondaire"),
    ""
)</f>
        <v/>
      </c>
      <c r="AS19" s="257"/>
      <c r="AT19" s="257"/>
      <c r="AV19" s="257" t="str" cm="1">
        <f t="array" aca="1" ref="AV19" ca="1">IFERROR(
    IF(
        AND(
            AV18=INDIRECT($B$4&amp;"_Oui"),
            OR($E18=FR_Collège, $E18=EN_Collège, $E18=DE_Collège, $E18=FR_Lycée, $E18=EN_Lycée, $E18=DE_Lycée)
       ),
         INDIRECT($B$4&amp;"_ERR_Non_proposé_pour_secondaire"),
        ""
    ),
    ""
)</f>
        <v/>
      </c>
      <c r="AW19" s="257"/>
      <c r="AX19" s="257"/>
      <c r="AZ19" s="137"/>
    </row>
    <row r="20" spans="2:90" ht="16.5" x14ac:dyDescent="0.25">
      <c r="B20" s="128" t="s">
        <v>296</v>
      </c>
      <c r="E20" s="129"/>
      <c r="G20" s="129"/>
      <c r="I20" s="130"/>
      <c r="J20" s="121"/>
      <c r="L20" s="136">
        <f ca="1">IF($BD20="PremInscription", T_Droits_d_entrée,0)</f>
        <v>0</v>
      </c>
      <c r="M20" s="137"/>
      <c r="N20" s="136" cm="1">
        <f t="array" aca="1" ref="N20" ca="1">_xlfn.IFS($BD20="", 0, OR($BD20="PremInscription", $BD20="RéinscriptionAprèsDépart"), T_Frais_de_Dossier,$BD20="Réinscription",T_Frais_de_réinscription)</f>
        <v>0</v>
      </c>
      <c r="O20" s="137"/>
      <c r="P20" s="138">
        <f ca="1">SUM(L20:N20)</f>
        <v>0</v>
      </c>
      <c r="Q20" s="137"/>
      <c r="R20" s="138" cm="1">
        <f t="array" aca="1" ref="R20" ca="1">IFERROR(
    ROUNDUP(
        IF(
            AND(LEFT(BH20,2)&lt;&gt;"TO",I20&gt;=6,BD20&lt;&gt;"RéinscriptionAprèsDépart"),
                (1+T_Prime_Fidélité),1)*INDIRECT(BH20)+INDIRECT("T_Livres_"&amp;BF20),
                0
        ),
    0
)</f>
        <v>0</v>
      </c>
      <c r="S20" s="137"/>
      <c r="T20" s="139"/>
      <c r="U20" s="137"/>
      <c r="V20" s="136" cm="1">
        <f t="array" aca="1" ref="V20" ca="1">IFERROR(
    IF(
        OR($E20=FR_Lycée, $E20=EN_Lycée, $E20=DE_Lycée),
            0,
            IF(T20=INDIRECT($B$4&amp;"_Oui"), 2*T_Navette_1Sem,0)
    ),
    0
)</f>
        <v>0</v>
      </c>
      <c r="W20" s="137"/>
      <c r="X20" s="140"/>
      <c r="Y20" s="137"/>
      <c r="Z20" s="136" cm="1">
        <f t="array" aca="1" ref="Z20" ca="1">IFERROR(IF(BL20="EXT",0,INDIRECT("T_Cantine_"&amp;BF20&amp;"_"&amp;BL20)),0)</f>
        <v>0</v>
      </c>
      <c r="AB20" s="129"/>
      <c r="AD20" s="136" cm="1">
        <f t="array" aca="1" ref="AD20" ca="1">IFERROR(
    IF(
        OR($E20=FR_Maternelle, $E20=EN_Maternelle, $E20=DE_Maternelle, $E20=FR_Collège, $E20=EN_Collège, $E20=DE_Collège, $E20=FR_Lycée, $E20=EN_Lycée, $E20=DE_Lycée),
            0,
            2*INDIRECT("T_Étude_dirigée_"&amp;BN20)
    ),
    0
)</f>
        <v>0</v>
      </c>
      <c r="AF20" s="130"/>
      <c r="AH20" s="130"/>
      <c r="AJ20" s="130"/>
      <c r="AL20" s="130"/>
      <c r="AN20" s="130"/>
      <c r="AP20" s="136">
        <f>IFERROR(
    IF(
        OR($E20=FR_Collège, $E20=EN_Collège, $E20=DE_Collège, $E20=FR_Lycée, $E20=EN_Lycée, $E20=DE_Lycée),
            0,
            2*CJ20*T_Garderie_1Sem_1h00 + 2*CL20*T_Garderie_1Sem_1h15
    ),
    0
)</f>
        <v>0</v>
      </c>
      <c r="AR20" s="130"/>
      <c r="AT20" s="123">
        <f>IFERROR(
    IF(
        OR($E20=FR_Collège, $E20=EN_Collège, $E20=DE_Collège, $E20=FR_Lycée, $E20=EN_Lycée, $E20=DE_Lycée),
            0,
           2* AR20*VALUE(MID(T_HTS,SEARCH(" ", T_HTS)+1,3))+N("Extraction de la valeur min dans le tarif HTS formulé 'entre X et Y CHF'")
    ),
    0
)</f>
        <v>0</v>
      </c>
      <c r="AV20" s="129"/>
      <c r="AX20" s="136" cm="1">
        <f t="array" aca="1" ref="AX20" ca="1">IFERROR(
    IF(
        OR($E20=FR_Collège, $E20=EN_Collège, $E20=DE_Collège, $E20=FR_Lycée, $E20=EN_Lycée, $E20=DE_Lycée),
            0,
            IF(
                    AV20&lt;&gt;INDIRECT($B$4&amp;"_Oui"),
                    0,
                    2*T_Mercredis_récréatifs
            )
    ),
    0
)</f>
        <v>0</v>
      </c>
      <c r="AZ20" s="138">
        <f ca="1">SUM(P20,R20,V20,Z20,AD20,AP20,AT20,AX20)</f>
        <v>0</v>
      </c>
      <c r="BD20" s="122" t="str">
        <f ca="1">IFERROR(VLOOKUP(G20,INDIRECT($B$4&amp;"_Inscription_Lookup"),2,FALSE),"")</f>
        <v/>
      </c>
      <c r="BF20" s="122" t="str">
        <f ca="1">IFERROR(VLOOKUP(E20,INDIRECT($B$4&amp;"_Niveaux_Lookup"),2,FALSE),"")</f>
        <v/>
      </c>
      <c r="BG20" s="122" t="str" cm="1">
        <f t="array" aca="1" ref="BG20" ca="1">IF(E20="","",INDIRECT($B$4&amp;"_Tarif_applicable")&amp;"_"&amp;BF20)</f>
        <v/>
      </c>
      <c r="BH20" s="122" t="str" cm="1">
        <f t="array" aca="1" ref="BH20" ca="1">IFERROR(
    IF(
        LEFT(BG20,2)="TO", BG20,
        _xlfn.IFS(
            AND(LEFT(BG20,5)="TR123",INDIRECT($B$4&amp;"_Nombre_Enfants_à_scolariser")=1), "TR1_"&amp;TEXT(BF20,""),
            AND(LEFT(BG20,5)="TR123",INDIRECT($B$4&amp;"_Nombre_Enfants_à_scolariser")=2), "TR2_"&amp;TEXT(BF20,""),
            AND(LEFT(BG20,5)="TR123",INDIRECT($B$4&amp;"_Nombre_Enfants_à_scolariser")&gt;=3), "TR3_"&amp;TEXT(BF20,""),
            AND(LEFT(BG20,5)="TR456",INDIRECT($B$4&amp;"_Nombre_Enfants_à_scolariser")=1), "TR4_"&amp;TEXT(BF20,""),
            AND(LEFT(BG20,5)="TR456",INDIRECT($B$4&amp;"_Nombre_Enfants_à_scolariser")=2), "TR5_"&amp;TEXT(BF20,""),
            AND(LEFT(BG20,5)="TR456",INDIRECT($B$4&amp;"_Nombre_Enfants_à_scolariser")&gt;=3), "TR6_"&amp;TEXT(BF20,"")
        )
    ),
    ""
)</f>
        <v/>
      </c>
      <c r="BJ20" s="124" t="str" cm="1">
        <f t="array" aca="1" ref="BJ20" ca="1">IFERROR(_xlfn.IFS(
    E20=INDIRECT($B$4&amp;"_Maternelle"),($B$4&amp;"_Régime_Cantine_Maternelle"),
    E20=INDIRECT($B$4&amp;"_Élémentaire"),($B$4&amp;"_Régime_Cantine_Élémentaire"),
    E20=INDIRECT($B$4&amp;"_Collège"),($B$4&amp;"_Régime_Cantine_Collège_Lycée"),
    E20=INDIRECT($B$4&amp;"_Lycée"),($B$4&amp;"_Régime_Cantine_Collège_Lycée")
), "")</f>
        <v/>
      </c>
      <c r="BL20" s="124" t="str">
        <f ca="1">IFERROR(VLOOKUP(X20,INDIRECT($B$4&amp;"_Cantine_Lookup"),2,FALSE),"")</f>
        <v/>
      </c>
      <c r="BN20" s="124" t="str">
        <f ca="1">IFERROR(VLOOKUP(AB20,INDIRECT($B$4&amp;"_Étude_dirigée_Lookup"),2,FALSE),"")</f>
        <v/>
      </c>
      <c r="BP20" s="124">
        <f>IFERROR(VLOOKUP(AF20,Garderie_Lundi_VLOOKUP,2,FALSE),0)</f>
        <v>0</v>
      </c>
      <c r="BR20" s="124">
        <f>IFERROR(VLOOKUP(AF20,Garderie_Lundi_VLOOKUP,3,FALSE),0)</f>
        <v>0</v>
      </c>
      <c r="BT20" s="124">
        <f>IFERROR(VLOOKUP(AH20,Garderie_Mardi_VLOOKUP,2,FALSE),0)</f>
        <v>0</v>
      </c>
      <c r="BV20" s="124">
        <f>IFERROR(VLOOKUP(AH20,Garderie_Mardi_VLOOKUP,3,FALSE),0)</f>
        <v>0</v>
      </c>
      <c r="BX20" s="124">
        <f>IFERROR(VLOOKUP(AJ20,Garderie_Mercredi_VLOOKUP,2,FALSE),0)</f>
        <v>0</v>
      </c>
      <c r="BZ20" s="124">
        <f>IFERROR(VLOOKUP(AJ20,Garderie_Mercredi_VLOOKUP,3,FALSE),0)</f>
        <v>0</v>
      </c>
      <c r="CB20" s="124">
        <f>IFERROR(VLOOKUP(AL20,Garderie_Jeudi_VLOOKUP,2,FALSE),0)</f>
        <v>0</v>
      </c>
      <c r="CD20" s="124">
        <f>IFERROR(VLOOKUP(AL20,Garderie_Jeudi_VLOOKUP,3,FALSE),0)</f>
        <v>0</v>
      </c>
      <c r="CF20" s="124">
        <f>IFERROR(VLOOKUP(AN20,Garderie_Vendredi_VLOOKUP,2,FALSE),0)</f>
        <v>0</v>
      </c>
      <c r="CH20" s="124">
        <f>IFERROR(VLOOKUP(AN20,Garderie_Vendredi_VLOOKUP,3,FALSE),0)</f>
        <v>0</v>
      </c>
      <c r="CJ20" s="124">
        <f>IFERROR(SUM(BP20,BT20,BX20,CB20,CF20),0)</f>
        <v>0</v>
      </c>
      <c r="CL20" s="124">
        <f>IFERROR(SUM(BR20,BV20,BZ20,CD20,CH20),0)</f>
        <v>0</v>
      </c>
    </row>
    <row r="21" spans="2:90" x14ac:dyDescent="0.2">
      <c r="I21" s="8"/>
      <c r="J21" s="121"/>
      <c r="L21" s="137"/>
      <c r="M21" s="137"/>
      <c r="N21" s="137"/>
      <c r="O21" s="137"/>
      <c r="P21" s="137"/>
      <c r="Q21" s="137"/>
      <c r="R21" s="137"/>
      <c r="S21" s="137"/>
      <c r="T21" s="259" t="str" cm="1">
        <f t="array" aca="1" ref="T21" ca="1">IFERROR(
    IF(
        AND(
           T20=INDIRECT($B$4&amp;"_Oui"),
          OR($E20=FR_Lycée,$E20=EN_Lycée,$E20=DE_Lycée)
        ),
        INDIRECT($B$4&amp;"_ERR_Non_proposé_pour_lycée"),
       ""
    ),
    ""
)</f>
        <v/>
      </c>
      <c r="U21" s="259"/>
      <c r="V21" s="259"/>
      <c r="W21" s="137"/>
      <c r="X21" s="137"/>
      <c r="Y21" s="137"/>
      <c r="Z21" s="137"/>
      <c r="AB21" s="257" t="str" cm="1">
        <f t="array" aca="1" ref="AB21" ca="1">IF(
    AND(
         AB20&gt;0,
         OR($E20=FR_Maternelle,$E20=EN_Maternelle,$E20=DE_Maternelle,$E20=FR_Collège,$E20=EN_Collège,$E20=DE_Collège,$E20=FR_Lycée,$E20=EN_Lycée,$E20=DE_Lycée)
    ),
        INDIRECT($B$4&amp;"_ERR_Seulement_pour_élémentaire"),
        ""
)</f>
        <v/>
      </c>
      <c r="AC21" s="257"/>
      <c r="AD21" s="257"/>
      <c r="AM21" s="258" t="str" cm="1">
        <f t="array" aca="1" ref="AM21" ca="1">IF(
    AND(
         OR($AF20&gt;0,$AH20&gt;0,$AJ20&gt;0,$AL20&gt;0,$AN20&gt;0),
         OR($E20=FR_Collège,$E20=EN_Collège,$E20=DE_Collège,$E20=FR_Lycée,$E20=EN_Lycée,$E20=DE_Lycée)
    ),
        INDIRECT($B$4&amp;"_ERR_Non_proposé_pour_secondaire"),
        ""
)</f>
        <v/>
      </c>
      <c r="AN21" s="258"/>
      <c r="AO21" s="258"/>
      <c r="AP21" s="258"/>
      <c r="AR21" s="257" t="str" cm="1">
        <f t="array" aca="1" ref="AR21" ca="1">IF(
    AND(
        AR20&gt;0,
        OR($E20=FR_Collège, $E20=EN_Collège, $E20=DE_Collège, $E20=FR_Lycée, $E20=EN_Lycée, $E20=DE_Lycée)
    ),
     INDIRECT($B$4&amp;"_ERR_Non_proposé_pour_secondaire"),
    ""
)</f>
        <v/>
      </c>
      <c r="AS21" s="257"/>
      <c r="AT21" s="257"/>
      <c r="AV21" s="257" t="str" cm="1">
        <f t="array" aca="1" ref="AV21" ca="1">IFERROR(
    IF(
        AND(
            AV20=INDIRECT($B$4&amp;"_Oui"),
            OR($E20=FR_Collège, $E20=EN_Collège, $E20=DE_Collège, $E20=FR_Lycée, $E20=EN_Lycée, $E20=DE_Lycée)
       ),
         INDIRECT($B$4&amp;"_ERR_Non_proposé_pour_secondaire"),
        ""
    ),
    ""
)</f>
        <v/>
      </c>
      <c r="AW21" s="257"/>
      <c r="AX21" s="257"/>
      <c r="AZ21" s="137"/>
    </row>
    <row r="22" spans="2:90" ht="16.5" x14ac:dyDescent="0.25">
      <c r="B22" s="128" t="s">
        <v>297</v>
      </c>
      <c r="E22" s="129"/>
      <c r="G22" s="129"/>
      <c r="I22" s="130"/>
      <c r="J22" s="121"/>
      <c r="L22" s="136">
        <f ca="1">IF($BD22="PremInscription", T_Droits_d_entrée,0)</f>
        <v>0</v>
      </c>
      <c r="M22" s="137"/>
      <c r="N22" s="136" cm="1">
        <f t="array" aca="1" ref="N22" ca="1">_xlfn.IFS($BD22="", 0, OR($BD22="PremInscription", $BD22="RéinscriptionAprèsDépart"), T_Frais_de_Dossier,$BD22="Réinscription",T_Frais_de_réinscription)</f>
        <v>0</v>
      </c>
      <c r="O22" s="137"/>
      <c r="P22" s="138">
        <f ca="1">SUM(L22:N22)</f>
        <v>0</v>
      </c>
      <c r="Q22" s="137"/>
      <c r="R22" s="138" cm="1">
        <f t="array" aca="1" ref="R22" ca="1">IFERROR(
    ROUNDUP(
        IF(
            AND(LEFT(BH22,2)&lt;&gt;"TO",I22&gt;=6,BD22&lt;&gt;"RéinscriptionAprèsDépart"),
                (1+T_Prime_Fidélité),1)*INDIRECT(BH22)+INDIRECT("T_Livres_"&amp;BF22),
                0
        ),
    0
)</f>
        <v>0</v>
      </c>
      <c r="S22" s="137"/>
      <c r="T22" s="139"/>
      <c r="U22" s="137"/>
      <c r="V22" s="136" cm="1">
        <f t="array" aca="1" ref="V22" ca="1">IFERROR(
    IF(
        OR($E22=FR_Lycée, $E22=EN_Lycée, $E22=DE_Lycée),
            0,
            IF(T22=INDIRECT($B$4&amp;"_Oui"), 2*T_Navette_1Sem,0)
    ),
    0
)</f>
        <v>0</v>
      </c>
      <c r="W22" s="137"/>
      <c r="X22" s="140"/>
      <c r="Y22" s="137"/>
      <c r="Z22" s="136" cm="1">
        <f t="array" aca="1" ref="Z22" ca="1">IFERROR(IF(BL22="EXT",0,INDIRECT("T_Cantine_"&amp;BF22&amp;"_"&amp;BL22)),0)</f>
        <v>0</v>
      </c>
      <c r="AB22" s="129"/>
      <c r="AD22" s="136" cm="1">
        <f t="array" aca="1" ref="AD22" ca="1">IFERROR(
    IF(
        OR($E22=FR_Maternelle, $E22=EN_Maternelle, $E22=DE_Maternelle, $E22=FR_Collège, $E22=EN_Collège, $E22=DE_Collège, $E22=FR_Lycée, $E22=EN_Lycée, $E22=DE_Lycée),
            0,
            2*INDIRECT("T_Étude_dirigée_"&amp;BN22)
    ),
    0
)</f>
        <v>0</v>
      </c>
      <c r="AF22" s="130"/>
      <c r="AH22" s="130"/>
      <c r="AJ22" s="130"/>
      <c r="AL22" s="130"/>
      <c r="AN22" s="130"/>
      <c r="AP22" s="136">
        <f>IFERROR(
    IF(
        OR($E22=FR_Collège, $E22=EN_Collège, $E22=DE_Collège, $E22=FR_Lycée, $E22=EN_Lycée, $E22=DE_Lycée),
            0,
            2*CJ22*T_Garderie_1Sem_1h00 + 2*CL22*T_Garderie_1Sem_1h15
    ),
    0
)</f>
        <v>0</v>
      </c>
      <c r="AR22" s="130"/>
      <c r="AT22" s="136">
        <f>IFERROR(
    IF(
        OR($E22=FR_Collège, $E22=EN_Collège, $E22=DE_Collège, $E22=FR_Lycée, $E22=EN_Lycée, $E22=DE_Lycée),
            0,
           2* AR22*VALUE(MID(T_HTS,SEARCH(" ", T_HTS)+1,3))+N("Extraction de la valeur min dans le tarif HTS formulé 'entre X et Y CHF'")
    ),
    0
)</f>
        <v>0</v>
      </c>
      <c r="AV22" s="129"/>
      <c r="AX22" s="136" cm="1">
        <f t="array" aca="1" ref="AX22" ca="1">IFERROR(
    IF(
        OR($E22=FR_Collège, $E22=EN_Collège, $E22=DE_Collège, $E22=FR_Lycée, $E22=EN_Lycée, $E22=DE_Lycée),
            0,
            IF(
                    AV22&lt;&gt;INDIRECT($B$4&amp;"_Oui"),
                    0,
                    2*T_Mercredis_récréatifs
            )
    ),
    0
)</f>
        <v>0</v>
      </c>
      <c r="AZ22" s="138">
        <f ca="1">SUM(P22,R22,V22,Z22,AD22,AP22,AT22,AX22)</f>
        <v>0</v>
      </c>
      <c r="BD22" s="122" t="str">
        <f ca="1">IFERROR(VLOOKUP(G22,INDIRECT($B$4&amp;"_Inscription_Lookup"),2,FALSE),"")</f>
        <v/>
      </c>
      <c r="BF22" s="122" t="str">
        <f ca="1">IFERROR(VLOOKUP(E22,INDIRECT($B$4&amp;"_Niveaux_Lookup"),2,FALSE),"")</f>
        <v/>
      </c>
      <c r="BG22" s="122" t="str" cm="1">
        <f t="array" aca="1" ref="BG22" ca="1">IF(E22="","",INDIRECT($B$4&amp;"_Tarif_applicable")&amp;"_"&amp;BF22)</f>
        <v/>
      </c>
      <c r="BH22" s="122" t="str" cm="1">
        <f t="array" aca="1" ref="BH22" ca="1">IFERROR(
    IF(
        LEFT(BG22,2)="TO", BG22,
        _xlfn.IFS(
            AND(LEFT(BG22,5)="TR123",INDIRECT($B$4&amp;"_Nombre_Enfants_à_scolariser")=1), "TR1_"&amp;TEXT(BF22,""),
            AND(LEFT(BG22,5)="TR123",INDIRECT($B$4&amp;"_Nombre_Enfants_à_scolariser")=2), "TR2_"&amp;TEXT(BF22,""),
            AND(LEFT(BG22,5)="TR123",INDIRECT($B$4&amp;"_Nombre_Enfants_à_scolariser")&gt;=3), "TR3_"&amp;TEXT(BF22,""),
            AND(LEFT(BG22,5)="TR456",INDIRECT($B$4&amp;"_Nombre_Enfants_à_scolariser")=1), "TR4_"&amp;TEXT(BF22,""),
            AND(LEFT(BG22,5)="TR456",INDIRECT($B$4&amp;"_Nombre_Enfants_à_scolariser")=2), "TR5_"&amp;TEXT(BF22,""),
            AND(LEFT(BG22,5)="TR456",INDIRECT($B$4&amp;"_Nombre_Enfants_à_scolariser")&gt;=3), "TR6_"&amp;TEXT(BF22,"")
        )
    ),
    ""
)</f>
        <v/>
      </c>
      <c r="BJ22" s="124" t="str" cm="1">
        <f t="array" aca="1" ref="BJ22" ca="1">IFERROR(_xlfn.IFS(
    E22=INDIRECT($B$4&amp;"_Maternelle"),($B$4&amp;"_Régime_Cantine_Maternelle"),
    E22=INDIRECT($B$4&amp;"_Élémentaire"),($B$4&amp;"_Régime_Cantine_Élémentaire"),
    E22=INDIRECT($B$4&amp;"_Collège"),($B$4&amp;"_Régime_Cantine_Collège_Lycée"),
    E22=INDIRECT($B$4&amp;"_Lycée"),($B$4&amp;"_Régime_Cantine_Collège_Lycée")
), "")</f>
        <v/>
      </c>
      <c r="BL22" s="124" t="str">
        <f ca="1">IFERROR(VLOOKUP(X22,INDIRECT($B$4&amp;"_Cantine_Lookup"),2,FALSE),"")</f>
        <v/>
      </c>
      <c r="BN22" s="124" t="str">
        <f ca="1">IFERROR(VLOOKUP(AB22,INDIRECT($B$4&amp;"_Étude_dirigée_Lookup"),2,FALSE),"")</f>
        <v/>
      </c>
      <c r="BP22" s="124">
        <f>IFERROR(VLOOKUP(AF22,Garderie_Lundi_VLOOKUP,2,FALSE),0)</f>
        <v>0</v>
      </c>
      <c r="BR22" s="124">
        <f>IFERROR(VLOOKUP(AF22,Garderie_Lundi_VLOOKUP,3,FALSE),0)</f>
        <v>0</v>
      </c>
      <c r="BT22" s="124">
        <f>IFERROR(VLOOKUP(AH22,Garderie_Mardi_VLOOKUP,2,FALSE),0)</f>
        <v>0</v>
      </c>
      <c r="BV22" s="124">
        <f>IFERROR(VLOOKUP(AH22,Garderie_Mardi_VLOOKUP,3,FALSE),0)</f>
        <v>0</v>
      </c>
      <c r="BX22" s="124">
        <f>IFERROR(VLOOKUP(AJ22,Garderie_Mercredi_VLOOKUP,2,FALSE),0)</f>
        <v>0</v>
      </c>
      <c r="BZ22" s="124">
        <f>IFERROR(VLOOKUP(AJ22,Garderie_Mercredi_VLOOKUP,3,FALSE),0)</f>
        <v>0</v>
      </c>
      <c r="CB22" s="124">
        <f>IFERROR(VLOOKUP(AL22,Garderie_Jeudi_VLOOKUP,2,FALSE),0)</f>
        <v>0</v>
      </c>
      <c r="CD22" s="124">
        <f>IFERROR(VLOOKUP(AL22,Garderie_Jeudi_VLOOKUP,3,FALSE),0)</f>
        <v>0</v>
      </c>
      <c r="CF22" s="124">
        <f>IFERROR(VLOOKUP(AN22,Garderie_Vendredi_VLOOKUP,2,FALSE),0)</f>
        <v>0</v>
      </c>
      <c r="CH22" s="124">
        <f>IFERROR(VLOOKUP(AN22,Garderie_Vendredi_VLOOKUP,3,FALSE),0)</f>
        <v>0</v>
      </c>
      <c r="CJ22" s="124">
        <f>IFERROR(SUM(BP22,BT22,BX22,CB22,CF22),0)</f>
        <v>0</v>
      </c>
      <c r="CL22" s="124">
        <f>IFERROR(SUM(BR22,BV22,BZ22,CD22,CH22),0)</f>
        <v>0</v>
      </c>
    </row>
    <row r="23" spans="2:90" x14ac:dyDescent="0.2">
      <c r="B23" s="128"/>
      <c r="I23" s="8"/>
      <c r="J23" s="121"/>
      <c r="L23" s="137"/>
      <c r="M23" s="137"/>
      <c r="N23" s="137"/>
      <c r="O23" s="137"/>
      <c r="P23" s="137"/>
      <c r="Q23" s="137"/>
      <c r="R23" s="137"/>
      <c r="S23" s="137"/>
      <c r="T23" s="259" t="str" cm="1">
        <f t="array" aca="1" ref="T23" ca="1">IFERROR(
    IF(
        AND(
           T22=INDIRECT($B$4&amp;"_Oui"),
          OR($E22=FR_Lycée,$E22=EN_Lycée,$E22=DE_Lycée)
        ),
        INDIRECT($B$4&amp;"_ERR_Non_proposé_pour_lycée"),
       ""
    ),
    ""
)</f>
        <v/>
      </c>
      <c r="U23" s="259"/>
      <c r="V23" s="259"/>
      <c r="W23" s="137"/>
      <c r="X23" s="137"/>
      <c r="Y23" s="137"/>
      <c r="Z23" s="137"/>
      <c r="AB23" s="257" t="str" cm="1">
        <f t="array" aca="1" ref="AB23" ca="1">IF(
    AND(
         AB22&gt;0,
         OR($E22=FR_Maternelle,$E22=EN_Maternelle,$E22=DE_Maternelle,$E22=FR_Collège,$E22=EN_Collège,$E22=DE_Collège,$E22=FR_Lycée,$E22=EN_Lycée,$E22=DE_Lycée)
    ),
        INDIRECT($B$4&amp;"_ERR_Seulement_pour_élémentaire"),
        ""
)</f>
        <v/>
      </c>
      <c r="AC23" s="257"/>
      <c r="AD23" s="257"/>
      <c r="AM23" s="258" t="str" cm="1">
        <f t="array" aca="1" ref="AM23" ca="1">IF(
    AND(
         OR($AF22&gt;0,$AH22&gt;0,$AJ22&gt;0,$AL22&gt;0,$AN22&gt;0),
         OR($E22=FR_Collège,$E22=EN_Collège,$E22=DE_Collège,$E22=FR_Lycée,$E22=EN_Lycée,$E22=DE_Lycée)
    ),
        INDIRECT($B$4&amp;"_ERR_Non_proposé_pour_secondaire"),
        ""
)</f>
        <v/>
      </c>
      <c r="AN23" s="258"/>
      <c r="AO23" s="258"/>
      <c r="AP23" s="258"/>
      <c r="AR23" s="257" t="str" cm="1">
        <f t="array" aca="1" ref="AR23" ca="1">IF(
    AND(
        AR22&gt;0,
        OR($E22=FR_Collège, $E22=EN_Collège, $E22=DE_Collège, $E22=FR_Lycée, $E22=EN_Lycée, $E22=DE_Lycée)
    ),
     INDIRECT($B$4&amp;"_ERR_Non_proposé_pour_secondaire"),
    ""
)</f>
        <v/>
      </c>
      <c r="AS23" s="257"/>
      <c r="AT23" s="257"/>
      <c r="AV23" s="257" t="str" cm="1">
        <f t="array" aca="1" ref="AV23" ca="1">IFERROR(
    IF(
        AND(
            AV22=INDIRECT($B$4&amp;"_Oui"),
            OR($E22=FR_Collège, $E22=EN_Collège, $E22=DE_Collège, $E22=FR_Lycée, $E22=EN_Lycée, $E22=DE_Lycée)
       ),
         INDIRECT($B$4&amp;"_ERR_Non_proposé_pour_secondaire"),
        ""
    ),
    ""
)</f>
        <v/>
      </c>
      <c r="AW23" s="257"/>
      <c r="AX23" s="257"/>
      <c r="AZ23" s="137"/>
    </row>
    <row r="24" spans="2:90" s="158" customFormat="1" ht="27.75" x14ac:dyDescent="0.2">
      <c r="B24" s="170" t="s">
        <v>298</v>
      </c>
      <c r="E24" s="159">
        <f>COUNTIF(E14:E23, "&lt;&gt;")</f>
        <v>0</v>
      </c>
      <c r="J24" s="160"/>
      <c r="L24" s="161"/>
      <c r="M24" s="161"/>
      <c r="N24" s="161"/>
      <c r="O24" s="161"/>
      <c r="P24" s="162">
        <f ca="1">SUM(P14:P23)</f>
        <v>0</v>
      </c>
      <c r="Q24" s="161"/>
      <c r="R24" s="162">
        <f ca="1">SUM(R14:R23)</f>
        <v>0</v>
      </c>
      <c r="S24" s="161"/>
      <c r="T24" s="161"/>
      <c r="U24" s="161"/>
      <c r="V24" s="162">
        <f ca="1">SUM(V14:V23)</f>
        <v>0</v>
      </c>
      <c r="W24" s="161"/>
      <c r="X24" s="161"/>
      <c r="Y24" s="161"/>
      <c r="Z24" s="162">
        <f ca="1">SUM(Z14:Z23)</f>
        <v>0</v>
      </c>
      <c r="AD24" s="162">
        <f ca="1">SUM(AD14:AD23)</f>
        <v>0</v>
      </c>
      <c r="AP24" s="162">
        <f>SUM(AP14:AP23)</f>
        <v>0</v>
      </c>
      <c r="AR24" s="158" t="s">
        <v>299</v>
      </c>
      <c r="AT24" s="162">
        <f>SUM(AT14:AT23)</f>
        <v>0</v>
      </c>
      <c r="AX24" s="162">
        <f ca="1">SUM(AX14:AX23)</f>
        <v>0</v>
      </c>
      <c r="AZ24" s="162">
        <f ca="1">SUM(AZ14:AZ23)</f>
        <v>0</v>
      </c>
      <c r="BB24" s="163" t="s">
        <v>113</v>
      </c>
    </row>
    <row r="25" spans="2:90" x14ac:dyDescent="0.2">
      <c r="BB25" s="122" t="str" cm="1">
        <f t="array" aca="1" ref="BB25" ca="1">IF(OR(I31=INDIRECT($B$4&amp;"_Oui"), I31=""),"TO","TR")</f>
        <v>TO</v>
      </c>
      <c r="CJ25" s="133"/>
    </row>
    <row r="27" spans="2:90" ht="6" customHeight="1" x14ac:dyDescent="0.2">
      <c r="C27" s="126"/>
      <c r="D27" s="126"/>
      <c r="E27" s="126"/>
      <c r="F27" s="126"/>
      <c r="G27" s="126"/>
      <c r="H27" s="126"/>
      <c r="I27" s="126"/>
      <c r="J27" s="126"/>
      <c r="K27" s="126"/>
    </row>
    <row r="28" spans="2:90" ht="6" customHeight="1" x14ac:dyDescent="0.2">
      <c r="C28" s="126"/>
      <c r="K28" s="126"/>
    </row>
    <row r="29" spans="2:90" x14ac:dyDescent="0.2">
      <c r="C29" s="126"/>
      <c r="E29" s="118" t="s">
        <v>300</v>
      </c>
      <c r="K29" s="126"/>
      <c r="BB29" s="122" t="str" cm="1">
        <f t="array" aca="1" ref="BB29" ca="1">IF(
    BB25="TO",
        "TO",
        IF(
            OR(I33=INDIRECT($B$4&amp;"_Oui"), I33=INDIRECT($B$4&amp;"_Ne_souhaite_pas_répondre"),I33=""),
                "TR123",
                "TR456"
        )
)</f>
        <v>TO</v>
      </c>
    </row>
    <row r="30" spans="2:90" ht="5.25" customHeight="1" x14ac:dyDescent="0.2">
      <c r="C30" s="126"/>
      <c r="K30" s="126"/>
    </row>
    <row r="31" spans="2:90" ht="16.5" x14ac:dyDescent="0.25">
      <c r="C31" s="126"/>
      <c r="E31" t="s">
        <v>301</v>
      </c>
      <c r="I31" s="129"/>
      <c r="K31" s="126"/>
    </row>
    <row r="32" spans="2:90" ht="5.25" customHeight="1" x14ac:dyDescent="0.2">
      <c r="C32" s="126"/>
      <c r="K32" s="126"/>
    </row>
    <row r="33" spans="2:12" ht="16.5" x14ac:dyDescent="0.25">
      <c r="C33" s="126"/>
      <c r="E33" t="s">
        <v>303</v>
      </c>
      <c r="I33" s="129"/>
      <c r="K33" s="126"/>
    </row>
    <row r="34" spans="2:12" ht="6" customHeight="1" x14ac:dyDescent="0.2">
      <c r="C34" s="126"/>
      <c r="K34" s="126"/>
    </row>
    <row r="35" spans="2:12" ht="6" customHeight="1" x14ac:dyDescent="0.2">
      <c r="C35" s="126"/>
      <c r="D35" s="126"/>
      <c r="E35" s="126"/>
      <c r="F35" s="126"/>
      <c r="G35" s="126"/>
      <c r="H35" s="126"/>
      <c r="I35" s="126"/>
      <c r="J35" s="126"/>
      <c r="K35" s="126"/>
    </row>
    <row r="38" spans="2:12" ht="16.5" x14ac:dyDescent="0.25">
      <c r="E38" t="s">
        <v>305</v>
      </c>
      <c r="G38" s="135" cm="1">
        <f t="array" aca="1" ref="G38" ca="1">IFERROR(
    IF(
        AND(COUNTIF(BD14:BD23,Paramètres!G17)=0,INDIRECT($B$4&amp;"_Nombre_Enfants_à_scolariser")&gt;0),
            T_Dépôt_de_garantie,
            0
    )
    +N("Si Nb Enfants inscrits N-1 = 0 on facture le dépôt de garantie"),
    0
)</f>
        <v>0</v>
      </c>
      <c r="I38" s="134" t="str" cm="1">
        <f t="array" aca="1" ref="I38" ca="1">IFERROR(
    _xlfn.IFS(
        INDIRECT($B$4&amp;"_Nombre_Enfants_à_scolariser")=0,
            "",
        INDIRECT($B$4&amp;"_Nombre_Enfants_à_scolariser")&gt;0,
            IF(
                COUNTIF(BD13:BD22,Paramètres!G17)=0+N("Nb Réinscription = 0"),
                     INDIRECT($B$4&amp;"_INFO_Dépôt_de_garantie_à_verser_lors_de_la_première_inscription"),
                     INDIRECT($B$4&amp;"_INFO_Dépôt_de_garantie_déjà_versé")
            )
    ),
    ""
)</f>
        <v/>
      </c>
    </row>
    <row r="39" spans="2:12" ht="15.75" thickBot="1" x14ac:dyDescent="0.25"/>
    <row r="40" spans="2:12" ht="21.75" thickBot="1" x14ac:dyDescent="0.35">
      <c r="B40" s="145" t="s">
        <v>306</v>
      </c>
      <c r="C40" s="132"/>
      <c r="D40" s="132"/>
      <c r="E40" s="157">
        <f>IFERROR(
    IF(
       OR(COUNTIF(E14:E23, "&lt;&gt;")&lt;&gt;COUNTIF(G14:G23, "&lt;&gt;"),I31="", I33=""),
            0,
            SUM(G38,AZ24)
    ),
    0
)</f>
        <v>0</v>
      </c>
      <c r="G40" s="268" t="str" cm="1">
        <f t="array" aca="1" ref="G40" ca="1">IFERROR(
    _xlfn.IFS(
        COUNTIF(E14:E23, "&lt;&gt;")&lt;&gt;COUNTIF(G14:G23, "&lt;&gt;"),
            INDIRECT($B$4&amp;"_ERR_Données_oligatoires_manquantes"),
        OR(I31="",I33=""),
            INDIRECT($B$4&amp;"_ERR_Données_tarifs_réduits_manquantes")
    ),
    "OK"
)</f>
        <v>Geben Sie die Daten des ermäßigten Tarifs ein, um eine gültige Gesamtsumme zu erhalten</v>
      </c>
      <c r="H40" s="268"/>
      <c r="I40" s="268"/>
      <c r="J40" s="269"/>
      <c r="K40" s="269"/>
      <c r="L40" s="269"/>
    </row>
    <row r="44" spans="2:12" ht="17.25" x14ac:dyDescent="0.25">
      <c r="B44" s="142" t="s">
        <v>119</v>
      </c>
    </row>
    <row r="45" spans="2:12" ht="17.25" x14ac:dyDescent="0.25">
      <c r="B45" s="142" t="s">
        <v>213</v>
      </c>
    </row>
  </sheetData>
  <sheetProtection algorithmName="SHA-512" hashValue="i4f0kxEYm7eOEt+qsO9Cdev90tSeYp3oVUOHCTEzWKY8OLvy6MU6japPtrilN2A3eyQncAbUZEip5dLAiZVFqQ==" saltValue="dZPIklltDCkTpt2vAYn8lg==" spinCount="100000" sheet="1" objects="1" scenarios="1"/>
  <mergeCells count="26">
    <mergeCell ref="T17:V17"/>
    <mergeCell ref="AB17:AD17"/>
    <mergeCell ref="AM17:AP17"/>
    <mergeCell ref="AR17:AT17"/>
    <mergeCell ref="AV17:AX17"/>
    <mergeCell ref="T15:V15"/>
    <mergeCell ref="AB15:AD15"/>
    <mergeCell ref="AM15:AP15"/>
    <mergeCell ref="AR15:AT15"/>
    <mergeCell ref="AV15:AX15"/>
    <mergeCell ref="G40:L40"/>
    <mergeCell ref="AV23:AX23"/>
    <mergeCell ref="T19:V19"/>
    <mergeCell ref="AB19:AD19"/>
    <mergeCell ref="AM19:AP19"/>
    <mergeCell ref="AR19:AT19"/>
    <mergeCell ref="T23:V23"/>
    <mergeCell ref="AB23:AD23"/>
    <mergeCell ref="AM23:AP23"/>
    <mergeCell ref="AR23:AT23"/>
    <mergeCell ref="AV19:AX19"/>
    <mergeCell ref="T21:V21"/>
    <mergeCell ref="AB21:AD21"/>
    <mergeCell ref="AM21:AP21"/>
    <mergeCell ref="AR21:AT21"/>
    <mergeCell ref="AV21:AX21"/>
  </mergeCells>
  <conditionalFormatting sqref="G40">
    <cfRule type="expression" dxfId="3" priority="123" stopIfTrue="1">
      <formula>G40="OK"</formula>
    </cfRule>
    <cfRule type="expression" dxfId="2" priority="124">
      <formula>NOT(ISBLANK(G40))</formula>
    </cfRule>
  </conditionalFormatting>
  <conditionalFormatting sqref="I38:M38">
    <cfRule type="expression" dxfId="1" priority="121" stopIfTrue="1">
      <formula>$I$38&lt;&gt;""</formula>
    </cfRule>
    <cfRule type="expression" dxfId="0" priority="122">
      <formula>I38=""</formula>
    </cfRule>
  </conditionalFormatting>
  <dataValidations count="13">
    <dataValidation type="decimal" operator="lessThan" allowBlank="1" showInputMessage="1" showErrorMessage="1" sqref="I14 I16 I18 I20 I22" xr:uid="{B00EE90E-0323-D749-869A-24627ED0D222}">
      <formula1>100</formula1>
    </dataValidation>
    <dataValidation type="list" allowBlank="1" showInputMessage="1" showErrorMessage="1" sqref="X14 X16 X18 X20 X22" xr:uid="{C64793D7-13F0-9C46-9D2B-148CCD837C33}">
      <formula1>INDIRECT(BJ14)</formula1>
    </dataValidation>
    <dataValidation type="decimal" allowBlank="1" showInputMessage="1" showErrorMessage="1" sqref="AR20 AR14 AR16 AR18 AR22" xr:uid="{5AB5F8C8-3732-3449-831E-898E967311A7}">
      <formula1>0</formula1>
      <formula2>10</formula2>
    </dataValidation>
    <dataValidation type="list" allowBlank="1" showInputMessage="1" showErrorMessage="1" sqref="G14 G16 G18 G20 G22" xr:uid="{2FDFF97F-A3D0-4C47-9654-4737BB00B6BD}">
      <formula1>INDIRECT($B$4&amp;"_Inscription")</formula1>
    </dataValidation>
    <dataValidation type="list" allowBlank="1" showInputMessage="1" showErrorMessage="1" sqref="T14 T16 T18 T20 T22 I31 AV20 AV14 AV16 AV18 AV22" xr:uid="{97E18628-C700-2046-9321-1EADCF1636E3}">
      <formula1>INDIRECT($B$4&amp;"_Liste_Oui_Non")</formula1>
    </dataValidation>
    <dataValidation type="list" allowBlank="1" showInputMessage="1" showErrorMessage="1" sqref="I33" xr:uid="{F29B28C7-9A5A-994D-94F8-90306F725617}">
      <formula1>INDIRECT($B$4&amp;"_Liste_Oui_Non_Ne_souhaite_pas_répondre")</formula1>
    </dataValidation>
    <dataValidation type="list" allowBlank="1" showInputMessage="1" showErrorMessage="1" sqref="AB14 AB16 AB18 AB20 AB22" xr:uid="{336F2290-494F-8E44-936C-C99636C0202C}">
      <formula1>INDIRECT($B$4&amp;"_Étude_dirigée")</formula1>
    </dataValidation>
    <dataValidation type="list" allowBlank="1" showInputMessage="1" showErrorMessage="1" sqref="AF14 AF16 AF18 AF20 AF22" xr:uid="{DA74691A-ECD9-B04E-BBC4-82EDB88E1194}">
      <formula1>INDIRECT($B$4&amp;"_Garderie_Lundi")</formula1>
    </dataValidation>
    <dataValidation type="list" allowBlank="1" showInputMessage="1" showErrorMessage="1" sqref="AH14 AH16 AH18 AH20 AH22" xr:uid="{480C8F7C-71AC-5D45-8D1F-623E88277CDD}">
      <formula1>INDIRECT($B$4&amp;"_Garderie_Mardi")</formula1>
    </dataValidation>
    <dataValidation type="list" allowBlank="1" showInputMessage="1" showErrorMessage="1" sqref="AJ14 AJ16 AJ18 AJ20 AJ22" xr:uid="{A9A0B914-1E09-B641-A26C-E24A4B8BC9B4}">
      <formula1>INDIRECT($B$4&amp;"_Garderie_Mercredi")</formula1>
    </dataValidation>
    <dataValidation type="list" allowBlank="1" showInputMessage="1" showErrorMessage="1" sqref="AL14 AL16 AL18 AL20 AL22" xr:uid="{9556BB23-98C1-E049-8314-91B1ACF9A84F}">
      <formula1>INDIRECT($B$4&amp;"_Garderie_Jeudi")</formula1>
    </dataValidation>
    <dataValidation type="list" allowBlank="1" showInputMessage="1" showErrorMessage="1" sqref="AN14 AN16 AN18 AN20 AN22" xr:uid="{948C6BA7-FF2F-E643-8224-91E41F88309B}">
      <formula1>INDIRECT($B$4&amp;"_Garderie_Vendredi")</formula1>
    </dataValidation>
    <dataValidation type="list" allowBlank="1" showInputMessage="1" showErrorMessage="1" sqref="E14 E16 E18 E20 E22" xr:uid="{B2EC82FD-6375-4CB8-845C-1A695C1232F5}">
      <formula1>INDIRECT($B$4&amp;"_Niveaux")</formula1>
    </dataValidation>
  </dataValidations>
  <hyperlinks>
    <hyperlink ref="B44" location="'Simulateur | EN'!A1" display="English" xr:uid="{7B51C3FB-3590-2243-9CE3-E8783608D63E}"/>
    <hyperlink ref="B45" location="'Simulateur | FR'!A1" display="Français" xr:uid="{2D74B262-B7C1-44F9-AEE2-2D7726BB7852}"/>
  </hyperlinks>
  <pageMargins left="0.7" right="0.7" top="0.75" bottom="0.75" header="0.3" footer="0.3"/>
  <pageSetup paperSize="9" scale="29" orientation="landscape" horizontalDpi="300" verticalDpi="300" r:id="rId1"/>
  <headerFooter>
    <oddFooter>&amp;L_x000D_&amp;1#&amp;"Calibri"&amp;10&amp;K000000 Sensitivity: C2 Internal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9" id="{7A6FAF61-C62B-4506-8619-A20669076311}">
            <xm:f>Paramètres!$D$45=$E14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60" id="{67C7317B-287C-43A9-931A-F8DF14269F17}">
            <xm:f>Paramètres!$D$16=$E14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59" id="{4F984272-3CA9-4424-AD92-98200A9515AB}">
            <xm:f>Paramètres!$D$29=$E14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58" id="{4CCF3E15-B8F5-444E-89F8-821C51136033}">
            <xm:f>Paramètres!$D$42=$E14</xm:f>
            <x14:dxf>
              <fill>
                <patternFill>
                  <bgColor rgb="FFFFCC33"/>
                </patternFill>
              </fill>
            </x14:dxf>
          </x14:cfRule>
          <x14:cfRule type="expression" priority="57" id="{054693FF-0DCE-4DA5-9D5A-030533CF0208}">
            <xm:f>Paramètres!$D$17=$E14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56" id="{20DCD498-CD6A-401E-A198-816B7E022601}">
            <xm:f>Paramètres!$D$30=$E14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55" id="{184AC432-CF1A-4DE5-964E-69D36018C068}">
            <xm:f>Paramètres!$D$43=$E14</xm:f>
            <x14:dxf>
              <fill>
                <patternFill>
                  <bgColor rgb="FF00CCFF"/>
                </patternFill>
              </fill>
            </x14:dxf>
          </x14:cfRule>
          <x14:cfRule type="expression" priority="54" id="{79630D63-F77D-4E1D-989D-B5644A64B5E6}">
            <xm:f>Paramètres!$D$18=$E14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3" id="{9888170D-D7CD-4E97-89FA-F6A65B531134}">
            <xm:f>Paramètres!$D$31=$E14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2" id="{39AE03D0-E79C-472C-B72E-EEB80678D07C}">
            <xm:f>Paramètres!$D$44=$E14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1" id="{4A6827F1-42E1-4307-9FC9-56B6CDEF0C90}">
            <xm:f>Paramètres!$D$19=$E14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50" id="{ABBE2151-BA3E-401B-86AF-4C27C37169DD}">
            <xm:f>Paramètres!$D$32=$E14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E14</xm:sqref>
        </x14:conditionalFormatting>
        <x14:conditionalFormatting xmlns:xm="http://schemas.microsoft.com/office/excel/2006/main">
          <x14:cfRule type="expression" priority="48" id="{DD7965FA-03D3-4CA2-A1FB-7E09E6D35B1F}">
            <xm:f>Paramètres!$D$16=$E16</xm:f>
            <x14:dxf>
              <fill>
                <patternFill>
                  <bgColor rgb="FFFFCC33"/>
                </patternFill>
              </fill>
            </x14:dxf>
          </x14:cfRule>
          <x14:cfRule type="expression" priority="37" id="{31AA7D8D-3E02-4EDC-A5E3-A00D4377827C}">
            <xm:f>Paramètres!$D$45=$E16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47" id="{D1AB879A-D734-42C0-A9E4-937EB7AF7F1A}">
            <xm:f>Paramètres!$D$29=$E16</xm:f>
            <x14:dxf>
              <fill>
                <patternFill>
                  <bgColor rgb="FFFFCC33"/>
                </patternFill>
              </fill>
            </x14:dxf>
          </x14:cfRule>
          <x14:cfRule type="expression" priority="46" id="{1ADD71F0-E107-4420-982E-409F28DCF256}">
            <xm:f>Paramètres!$D$42=$E16</xm:f>
            <x14:dxf>
              <fill>
                <patternFill>
                  <bgColor rgb="FFFFCC33"/>
                </patternFill>
              </fill>
            </x14:dxf>
          </x14:cfRule>
          <x14:cfRule type="expression" priority="45" id="{D0FA0E8B-7A5E-40EF-A74C-F7E818E5F9AB}">
            <xm:f>Paramètres!$D$17=$E16</xm:f>
            <x14:dxf>
              <fill>
                <patternFill>
                  <bgColor rgb="FF00CCFF"/>
                </patternFill>
              </fill>
            </x14:dxf>
          </x14:cfRule>
          <x14:cfRule type="expression" priority="44" id="{853C7CA3-1920-4A6E-9DC0-5AA9150D4586}">
            <xm:f>Paramètres!$D$30=$E16</xm:f>
            <x14:dxf>
              <fill>
                <patternFill>
                  <bgColor rgb="FF00CCFF"/>
                </patternFill>
              </fill>
            </x14:dxf>
          </x14:cfRule>
          <x14:cfRule type="expression" priority="43" id="{8BCEF579-9093-46B9-84B6-C125FFDF0A26}">
            <xm:f>Paramètres!$D$43=$E16</xm:f>
            <x14:dxf>
              <fill>
                <patternFill>
                  <bgColor rgb="FF00CCFF"/>
                </patternFill>
              </fill>
            </x14:dxf>
          </x14:cfRule>
          <x14:cfRule type="expression" priority="42" id="{EF5FC774-0FB8-4A04-8F91-F12E92508CBD}">
            <xm:f>Paramètres!$D$18=$E16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41" id="{B3E6441D-53C6-4417-8303-D162D110CEB0}">
            <xm:f>Paramètres!$D$31=$E16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40" id="{04C83BAE-DC4A-4024-8EE7-CA9B4CE2D270}">
            <xm:f>Paramètres!$D$44=$E16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9" id="{AB43CAFC-E757-460C-AAD3-5E3F85BA3E4F}">
            <xm:f>Paramètres!$D$19=$E16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38" id="{0564E025-AD93-45D1-B6E6-94C795F0D74B}">
            <xm:f>Paramètres!$D$32=$E16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E16</xm:sqref>
        </x14:conditionalFormatting>
        <x14:conditionalFormatting xmlns:xm="http://schemas.microsoft.com/office/excel/2006/main">
          <x14:cfRule type="expression" priority="25" id="{F7B4B301-CB68-41E2-9BC3-F1AC573F49D9}">
            <xm:f>Paramètres!$D$45=$E18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6" id="{C00F3174-95AE-4128-A8B3-85148EA1321C}">
            <xm:f>Paramètres!$D$32=$E18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7" id="{ED9A3752-74C7-4607-A309-2605DE3F402A}">
            <xm:f>Paramètres!$D$19=$E18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8" id="{87855C7B-337B-4505-8868-78A8F3CCF480}">
            <xm:f>Paramètres!$D$44=$E18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29" id="{556A830A-439A-4FE7-BC92-0FEE9150C48D}">
            <xm:f>Paramètres!$D$31=$E18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0" id="{B1CA2B31-1FA3-4E89-BCFC-F268E002A4F3}">
            <xm:f>Paramètres!$D$18=$E18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1" id="{38BAD3B6-82F6-43BF-9491-31FE01A9A752}">
            <xm:f>Paramètres!$D$43=$E18</xm:f>
            <x14:dxf>
              <fill>
                <patternFill>
                  <bgColor rgb="FF00CCFF"/>
                </patternFill>
              </fill>
            </x14:dxf>
          </x14:cfRule>
          <x14:cfRule type="expression" priority="32" id="{F1898655-D469-4D23-BA44-826A8CB49795}">
            <xm:f>Paramètres!$D$30=$E18</xm:f>
            <x14:dxf>
              <fill>
                <patternFill>
                  <bgColor rgb="FF00CCFF"/>
                </patternFill>
              </fill>
            </x14:dxf>
          </x14:cfRule>
          <x14:cfRule type="expression" priority="33" id="{92BAC994-82D8-4CAD-8EE8-161AC37FE52C}">
            <xm:f>Paramètres!$D$17=$E18</xm:f>
            <x14:dxf>
              <fill>
                <patternFill>
                  <bgColor rgb="FF00CCFF"/>
                </patternFill>
              </fill>
            </x14:dxf>
          </x14:cfRule>
          <x14:cfRule type="expression" priority="34" id="{23C5779B-301F-47D8-80FD-32522E266167}">
            <xm:f>Paramètres!$D$42=$E18</xm:f>
            <x14:dxf>
              <fill>
                <patternFill>
                  <bgColor rgb="FFFFCC33"/>
                </patternFill>
              </fill>
            </x14:dxf>
          </x14:cfRule>
          <x14:cfRule type="expression" priority="35" id="{A8CE20D4-C341-4655-BABD-A0C66DB73F4C}">
            <xm:f>Paramètres!$D$29=$E18</xm:f>
            <x14:dxf>
              <fill>
                <patternFill>
                  <bgColor rgb="FFFFCC33"/>
                </patternFill>
              </fill>
            </x14:dxf>
          </x14:cfRule>
          <x14:cfRule type="expression" priority="36" id="{F701DD4A-76C6-48D9-B217-2A7F6CF47BB8}">
            <xm:f>Paramètres!$D$16=$E18</xm:f>
            <x14:dxf>
              <fill>
                <patternFill>
                  <bgColor rgb="FFFFCC33"/>
                </patternFill>
              </fill>
            </x14:dxf>
          </x14:cfRule>
          <xm:sqref>E18</xm:sqref>
        </x14:conditionalFormatting>
        <x14:conditionalFormatting xmlns:xm="http://schemas.microsoft.com/office/excel/2006/main">
          <x14:cfRule type="expression" priority="13" id="{653F4011-3E12-4BC7-A241-19C6C2A4C04A}">
            <xm:f>Paramètres!$D$45=$E20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4" id="{01357EC7-62CE-4ED0-A234-BF2F0A7F8CFE}">
            <xm:f>Paramètres!$D$16=$E20</xm:f>
            <x14:dxf>
              <fill>
                <patternFill>
                  <bgColor rgb="FFFFCC33"/>
                </patternFill>
              </fill>
            </x14:dxf>
          </x14:cfRule>
          <x14:cfRule type="expression" priority="23" id="{B5C0CB68-3553-4E3C-8B56-48EB94A9EB6D}">
            <xm:f>Paramètres!$D$29=$E20</xm:f>
            <x14:dxf>
              <fill>
                <patternFill>
                  <bgColor rgb="FFFFCC33"/>
                </patternFill>
              </fill>
            </x14:dxf>
          </x14:cfRule>
          <x14:cfRule type="expression" priority="22" id="{A0499912-06CD-4538-9BD0-17E450D7E7ED}">
            <xm:f>Paramètres!$D$42=$E20</xm:f>
            <x14:dxf>
              <fill>
                <patternFill>
                  <bgColor rgb="FFFFCC33"/>
                </patternFill>
              </fill>
            </x14:dxf>
          </x14:cfRule>
          <x14:cfRule type="expression" priority="21" id="{4FB925FE-1981-4E05-A4AD-8C5FFD98C313}">
            <xm:f>Paramètres!$D$17=$E20</xm:f>
            <x14:dxf>
              <fill>
                <patternFill>
                  <bgColor rgb="FF00CCFF"/>
                </patternFill>
              </fill>
            </x14:dxf>
          </x14:cfRule>
          <x14:cfRule type="expression" priority="20" id="{6A9AF469-0AF6-485C-B855-35B70AD4A7D5}">
            <xm:f>Paramètres!$D$30=$E20</xm:f>
            <x14:dxf>
              <fill>
                <patternFill>
                  <bgColor rgb="FF00CCFF"/>
                </patternFill>
              </fill>
            </x14:dxf>
          </x14:cfRule>
          <x14:cfRule type="expression" priority="19" id="{E4DB7E27-D887-45A1-989F-48A5BDF02C16}">
            <xm:f>Paramètres!$D$43=$E20</xm:f>
            <x14:dxf>
              <fill>
                <patternFill>
                  <bgColor rgb="FF00CCFF"/>
                </patternFill>
              </fill>
            </x14:dxf>
          </x14:cfRule>
          <x14:cfRule type="expression" priority="18" id="{2810AF7A-F5C2-4B28-8B0F-ACE33A39EF3B}">
            <xm:f>Paramètres!$D$18=$E20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7" id="{00D7506A-C347-4B2B-9C46-7FEF0EA175C7}">
            <xm:f>Paramètres!$D$31=$E20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6" id="{BAB0A535-D9A1-44F0-88CD-E196C3CAD96B}">
            <xm:f>Paramètres!$D$44=$E20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15" id="{6020901E-781D-4C4E-A0DF-00A851839000}">
            <xm:f>Paramètres!$D$19=$E20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14" id="{E65868B0-9D46-416C-8772-4DE2B747A286}">
            <xm:f>Paramètres!$D$32=$E20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E20</xm:sqref>
        </x14:conditionalFormatting>
        <x14:conditionalFormatting xmlns:xm="http://schemas.microsoft.com/office/excel/2006/main">
          <x14:cfRule type="expression" priority="1" id="{3925D676-C816-4B10-AD94-B0D60FF08D47}">
            <xm:f>Paramètres!$D$45=$E22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12" id="{F5C68845-52F2-4CD9-85D9-F37B69C244D2}">
            <xm:f>Paramètres!$D$16=$E22</xm:f>
            <x14:dxf>
              <fill>
                <patternFill>
                  <bgColor rgb="FFFFCC33"/>
                </patternFill>
              </fill>
            </x14:dxf>
          </x14:cfRule>
          <x14:cfRule type="expression" priority="11" id="{940034EC-2159-4C1F-ABB2-8DB6F706BD44}">
            <xm:f>Paramètres!$D$29=$E22</xm:f>
            <x14:dxf>
              <fill>
                <patternFill>
                  <bgColor rgb="FFFFCC33"/>
                </patternFill>
              </fill>
            </x14:dxf>
          </x14:cfRule>
          <x14:cfRule type="expression" priority="10" id="{B5CDC16C-BB50-4110-83C6-0BD249A1F872}">
            <xm:f>Paramètres!$D$42=$E22</xm:f>
            <x14:dxf>
              <fill>
                <patternFill>
                  <bgColor rgb="FFFFCC33"/>
                </patternFill>
              </fill>
            </x14:dxf>
          </x14:cfRule>
          <x14:cfRule type="expression" priority="9" id="{6D823C71-8475-4C86-820C-08D1FA065903}">
            <xm:f>Paramètres!$D$17=$E22</xm:f>
            <x14:dxf>
              <fill>
                <patternFill>
                  <bgColor rgb="FF00CCFF"/>
                </patternFill>
              </fill>
            </x14:dxf>
          </x14:cfRule>
          <x14:cfRule type="expression" priority="8" id="{133B033D-BEDA-4B2F-92B9-CCE754A3AB3A}">
            <xm:f>Paramètres!$D$30=$E22</xm:f>
            <x14:dxf>
              <fill>
                <patternFill>
                  <bgColor rgb="FF00CCFF"/>
                </patternFill>
              </fill>
            </x14:dxf>
          </x14:cfRule>
          <x14:cfRule type="expression" priority="7" id="{ED4C3107-2E1A-4BC1-90B8-F9FDFB9AE554}">
            <xm:f>Paramètres!$D$43=$E22</xm:f>
            <x14:dxf>
              <fill>
                <patternFill>
                  <bgColor rgb="FF00CCFF"/>
                </patternFill>
              </fill>
            </x14:dxf>
          </x14:cfRule>
          <x14:cfRule type="expression" priority="6" id="{3286FB71-D684-4DEF-9515-885200BC34C9}">
            <xm:f>Paramètres!$D$18=$E22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5" id="{F39C6432-61F0-48A9-B1A1-8F8A71694D4C}">
            <xm:f>Paramètres!$D$31=$E22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4" id="{61AE445D-3A76-439A-8530-26C70E7CECA5}">
            <xm:f>Paramètres!$D$44=$E22</xm:f>
            <x14:dxf>
              <font>
                <color theme="0"/>
              </font>
              <fill>
                <patternFill>
                  <bgColor rgb="FFC94A34"/>
                </patternFill>
              </fill>
            </x14:dxf>
          </x14:cfRule>
          <x14:cfRule type="expression" priority="3" id="{CA2F276E-9071-4730-A49D-888A9D93F81C}">
            <xm:f>Paramètres!$D$19=$E22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14:cfRule type="expression" priority="2" id="{B9412B35-1182-4ED2-9A8B-C5C88A146C67}">
            <xm:f>Paramètres!$D$32=$E22</xm:f>
            <x14:dxf>
              <font>
                <color theme="0"/>
              </font>
              <fill>
                <patternFill>
                  <bgColor rgb="FF4472C5"/>
                </patternFill>
              </fill>
            </x14:dxf>
          </x14:cfRule>
          <xm:sqref>E22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5411A-425A-0340-94E8-09B846258B3E}">
  <sheetPr codeName="Sheet5"/>
  <dimension ref="A5:AV56"/>
  <sheetViews>
    <sheetView topLeftCell="A36" zoomScale="166" zoomScaleNormal="87" workbookViewId="0">
      <selection activeCell="E99" sqref="E99"/>
    </sheetView>
  </sheetViews>
  <sheetFormatPr defaultColWidth="10.625" defaultRowHeight="15" x14ac:dyDescent="0.2"/>
  <cols>
    <col min="2" max="3" width="3.49609375" customWidth="1"/>
    <col min="4" max="4" width="12.64453125" customWidth="1"/>
    <col min="6" max="6" width="52.05859375" bestFit="1" customWidth="1"/>
    <col min="7" max="7" width="20.17578125" bestFit="1" customWidth="1"/>
    <col min="9" max="9" width="51.65625" bestFit="1" customWidth="1"/>
    <col min="13" max="13" width="35.78125" bestFit="1" customWidth="1"/>
    <col min="15" max="15" width="30.1328125" bestFit="1" customWidth="1"/>
    <col min="17" max="17" width="19.7734375" bestFit="1" customWidth="1"/>
    <col min="20" max="20" width="14.796875" bestFit="1" customWidth="1"/>
    <col min="21" max="22" width="4.4375" customWidth="1"/>
    <col min="23" max="23" width="2.28515625" customWidth="1"/>
    <col min="24" max="24" width="14.796875" bestFit="1" customWidth="1"/>
    <col min="25" max="26" width="4.4375" customWidth="1"/>
    <col min="27" max="27" width="2.28515625" customWidth="1"/>
    <col min="28" max="28" width="17.21875" bestFit="1" customWidth="1"/>
    <col min="29" max="30" width="4.4375" customWidth="1"/>
    <col min="31" max="31" width="2.28515625" customWidth="1"/>
    <col min="32" max="32" width="14.796875" bestFit="1" customWidth="1"/>
    <col min="33" max="34" width="4.4375" customWidth="1"/>
    <col min="35" max="35" width="2.28515625" customWidth="1"/>
    <col min="36" max="36" width="17.3515625" bestFit="1" customWidth="1"/>
    <col min="37" max="38" width="4.4375" customWidth="1"/>
    <col min="39" max="39" width="2.28515625" customWidth="1"/>
    <col min="46" max="46" width="46.8125" bestFit="1" customWidth="1"/>
  </cols>
  <sheetData>
    <row r="5" spans="1:48" ht="27" x14ac:dyDescent="0.4">
      <c r="D5" s="270" t="s">
        <v>307</v>
      </c>
      <c r="E5" s="270"/>
      <c r="F5" s="270"/>
      <c r="H5" s="164" t="s">
        <v>308</v>
      </c>
    </row>
    <row r="9" spans="1:48" ht="5.25" customHeight="1" x14ac:dyDescent="0.2"/>
    <row r="10" spans="1:48" x14ac:dyDescent="0.2">
      <c r="A10" t="s">
        <v>309</v>
      </c>
    </row>
    <row r="11" spans="1:48" x14ac:dyDescent="0.2">
      <c r="D11" s="165" t="s">
        <v>310</v>
      </c>
      <c r="F11" s="165" t="s">
        <v>311</v>
      </c>
      <c r="M11" s="165" t="s">
        <v>312</v>
      </c>
      <c r="O11" s="165" t="s">
        <v>313</v>
      </c>
      <c r="Q11" s="165" t="s">
        <v>314</v>
      </c>
      <c r="R11" s="166"/>
      <c r="S11" s="166"/>
      <c r="T11" s="166" t="s">
        <v>315</v>
      </c>
      <c r="U11" s="166" t="s">
        <v>316</v>
      </c>
      <c r="V11" s="166" t="s">
        <v>317</v>
      </c>
      <c r="W11" s="166"/>
      <c r="X11" s="166" t="s">
        <v>318</v>
      </c>
      <c r="Y11" s="166" t="s">
        <v>316</v>
      </c>
      <c r="Z11" s="166" t="s">
        <v>317</v>
      </c>
      <c r="AA11" s="166"/>
      <c r="AB11" s="166" t="s">
        <v>319</v>
      </c>
      <c r="AC11" s="166" t="s">
        <v>316</v>
      </c>
      <c r="AD11" s="166" t="s">
        <v>317</v>
      </c>
      <c r="AE11" s="166"/>
      <c r="AF11" s="166" t="s">
        <v>320</v>
      </c>
      <c r="AG11" s="166" t="s">
        <v>316</v>
      </c>
      <c r="AH11" s="166" t="s">
        <v>317</v>
      </c>
      <c r="AI11" s="166"/>
      <c r="AJ11" s="166" t="s">
        <v>321</v>
      </c>
      <c r="AK11" s="166" t="s">
        <v>316</v>
      </c>
      <c r="AL11" s="166" t="s">
        <v>317</v>
      </c>
      <c r="AM11" s="166"/>
      <c r="AN11" s="166"/>
      <c r="AO11" s="165" t="s">
        <v>322</v>
      </c>
      <c r="AP11" s="166"/>
      <c r="AQ11" s="165" t="s">
        <v>323</v>
      </c>
      <c r="AT11" t="s">
        <v>324</v>
      </c>
      <c r="AV11" t="s">
        <v>325</v>
      </c>
    </row>
    <row r="12" spans="1:48" x14ac:dyDescent="0.2">
      <c r="D12" s="166" t="s">
        <v>326</v>
      </c>
      <c r="M12" s="166" t="s">
        <v>327</v>
      </c>
      <c r="O12" s="166" t="s">
        <v>328</v>
      </c>
      <c r="T12" s="167" t="s">
        <v>329</v>
      </c>
      <c r="U12" s="167">
        <v>0</v>
      </c>
      <c r="V12" s="167">
        <v>1</v>
      </c>
      <c r="W12" s="168"/>
      <c r="X12" s="167" t="s">
        <v>329</v>
      </c>
      <c r="Y12" s="167">
        <v>0</v>
      </c>
      <c r="Z12" s="167">
        <v>1</v>
      </c>
      <c r="AA12" s="168"/>
      <c r="AB12" s="168" t="s">
        <v>330</v>
      </c>
      <c r="AC12" s="167">
        <v>1</v>
      </c>
      <c r="AD12" s="167">
        <v>0</v>
      </c>
      <c r="AE12" s="168"/>
      <c r="AF12" s="167" t="s">
        <v>329</v>
      </c>
      <c r="AG12" s="167">
        <v>0</v>
      </c>
      <c r="AH12" s="167">
        <v>1</v>
      </c>
      <c r="AI12" s="168"/>
      <c r="AJ12" s="168" t="s">
        <v>331</v>
      </c>
      <c r="AK12" s="167">
        <v>0</v>
      </c>
      <c r="AL12" s="167">
        <v>1</v>
      </c>
    </row>
    <row r="13" spans="1:48" x14ac:dyDescent="0.2">
      <c r="D13" s="166" t="s">
        <v>332</v>
      </c>
      <c r="O13" s="166" t="s">
        <v>333</v>
      </c>
      <c r="T13" s="167" t="s">
        <v>334</v>
      </c>
      <c r="U13" s="168">
        <v>1</v>
      </c>
      <c r="V13" s="168">
        <v>1</v>
      </c>
      <c r="W13" s="168"/>
      <c r="X13" s="167" t="s">
        <v>334</v>
      </c>
      <c r="Y13" s="168">
        <v>1</v>
      </c>
      <c r="Z13" s="168">
        <v>1</v>
      </c>
      <c r="AA13" s="168"/>
      <c r="AB13" s="168" t="s">
        <v>106</v>
      </c>
      <c r="AC13" s="167">
        <v>2</v>
      </c>
      <c r="AD13" s="167">
        <v>0</v>
      </c>
      <c r="AE13" s="168"/>
      <c r="AF13" s="167" t="s">
        <v>334</v>
      </c>
      <c r="AG13" s="168">
        <v>1</v>
      </c>
      <c r="AH13" s="168">
        <v>1</v>
      </c>
      <c r="AI13" s="168"/>
      <c r="AJ13" s="168" t="s">
        <v>335</v>
      </c>
      <c r="AK13" s="167">
        <v>1</v>
      </c>
      <c r="AL13" s="167">
        <v>1</v>
      </c>
      <c r="AT13" s="166" t="s">
        <v>336</v>
      </c>
      <c r="AV13" s="166" t="s">
        <v>337</v>
      </c>
    </row>
    <row r="14" spans="1:48" x14ac:dyDescent="0.2">
      <c r="D14" s="166" t="s">
        <v>338</v>
      </c>
      <c r="T14" s="167" t="s">
        <v>339</v>
      </c>
      <c r="U14" s="167">
        <v>1</v>
      </c>
      <c r="V14" s="167">
        <v>0</v>
      </c>
      <c r="W14" s="168"/>
      <c r="X14" s="167" t="s">
        <v>339</v>
      </c>
      <c r="Y14" s="167">
        <v>1</v>
      </c>
      <c r="Z14" s="167">
        <v>0</v>
      </c>
      <c r="AA14" s="168"/>
      <c r="AB14" s="168" t="s">
        <v>340</v>
      </c>
      <c r="AC14" s="167">
        <v>1</v>
      </c>
      <c r="AD14" s="167">
        <v>0</v>
      </c>
      <c r="AE14" s="168"/>
      <c r="AF14" s="167" t="s">
        <v>339</v>
      </c>
      <c r="AG14" s="167">
        <v>1</v>
      </c>
      <c r="AH14" s="167">
        <v>0</v>
      </c>
      <c r="AI14" s="168"/>
      <c r="AJ14" s="168" t="s">
        <v>341</v>
      </c>
      <c r="AK14" s="167">
        <v>2</v>
      </c>
      <c r="AL14" s="167">
        <v>1</v>
      </c>
      <c r="AT14" s="168" t="s">
        <v>342</v>
      </c>
      <c r="AV14" s="168" t="s">
        <v>343</v>
      </c>
    </row>
    <row r="15" spans="1:48" x14ac:dyDescent="0.2">
      <c r="D15" s="166" t="s">
        <v>344</v>
      </c>
      <c r="O15" s="166" t="s">
        <v>345</v>
      </c>
      <c r="T15" s="168"/>
      <c r="U15" s="168"/>
      <c r="V15" s="168"/>
      <c r="W15" s="168"/>
      <c r="X15" s="168"/>
      <c r="Y15" s="168"/>
      <c r="Z15" s="168"/>
      <c r="AA15" s="168"/>
      <c r="AB15" s="168"/>
      <c r="AC15" s="168"/>
      <c r="AD15" s="168"/>
      <c r="AE15" s="168"/>
      <c r="AF15" s="168"/>
      <c r="AG15" s="168"/>
      <c r="AH15" s="168"/>
      <c r="AI15" s="168"/>
      <c r="AJ15" s="168" t="s">
        <v>346</v>
      </c>
      <c r="AK15" s="167">
        <v>1</v>
      </c>
      <c r="AL15" s="167">
        <v>0</v>
      </c>
      <c r="AT15" s="166" t="s">
        <v>347</v>
      </c>
      <c r="AV15" s="166" t="s">
        <v>348</v>
      </c>
    </row>
    <row r="16" spans="1:48" x14ac:dyDescent="0.2">
      <c r="A16" t="s">
        <v>213</v>
      </c>
      <c r="D16" s="168" t="s">
        <v>2</v>
      </c>
      <c r="E16" s="166" t="s">
        <v>2</v>
      </c>
      <c r="F16" s="168" t="s">
        <v>349</v>
      </c>
      <c r="G16" s="166" t="s">
        <v>350</v>
      </c>
      <c r="I16" s="168" t="s">
        <v>351</v>
      </c>
      <c r="J16" s="166" t="s">
        <v>352</v>
      </c>
      <c r="M16" s="168" t="s">
        <v>105</v>
      </c>
      <c r="O16" s="168" t="s">
        <v>353</v>
      </c>
      <c r="P16" s="166" t="s">
        <v>354</v>
      </c>
      <c r="Q16" s="168" t="s">
        <v>45</v>
      </c>
      <c r="R16" s="166" t="s">
        <v>355</v>
      </c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 t="s">
        <v>356</v>
      </c>
      <c r="AK16" s="167">
        <v>2</v>
      </c>
      <c r="AL16" s="167">
        <v>0</v>
      </c>
      <c r="AT16" s="168" t="str">
        <f>"Seulement pour "&amp;FR_Maternelle&amp;" &amp; "&amp;FR_Élémentaire</f>
        <v>Seulement pour Maternelle &amp; Élémentaire</v>
      </c>
      <c r="AV16" s="168" t="s">
        <v>357</v>
      </c>
    </row>
    <row r="17" spans="1:48" x14ac:dyDescent="0.2">
      <c r="D17" s="168" t="s">
        <v>358</v>
      </c>
      <c r="E17" s="166" t="s">
        <v>358</v>
      </c>
      <c r="F17" s="168" t="s">
        <v>359</v>
      </c>
      <c r="G17" s="166" t="s">
        <v>360</v>
      </c>
      <c r="I17" s="168" t="s">
        <v>361</v>
      </c>
      <c r="J17" s="166" t="s">
        <v>362</v>
      </c>
      <c r="M17" s="168" t="s">
        <v>363</v>
      </c>
      <c r="O17" s="168" t="s">
        <v>364</v>
      </c>
      <c r="P17" s="166" t="s">
        <v>365</v>
      </c>
      <c r="Q17" s="168" t="s">
        <v>47</v>
      </c>
      <c r="R17" s="166" t="s">
        <v>366</v>
      </c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68"/>
      <c r="AG17" s="168"/>
      <c r="AH17" s="168"/>
      <c r="AI17" s="168"/>
      <c r="AJ17" s="168" t="s">
        <v>339</v>
      </c>
      <c r="AK17" s="167">
        <v>1</v>
      </c>
      <c r="AL17" s="167">
        <v>0</v>
      </c>
      <c r="AT17" s="166" t="s">
        <v>367</v>
      </c>
    </row>
    <row r="18" spans="1:48" x14ac:dyDescent="0.2">
      <c r="D18" s="168" t="s">
        <v>4</v>
      </c>
      <c r="E18" s="166" t="s">
        <v>4</v>
      </c>
      <c r="F18" s="168" t="s">
        <v>368</v>
      </c>
      <c r="G18" s="166" t="s">
        <v>369</v>
      </c>
      <c r="I18" s="168"/>
      <c r="J18" s="166"/>
      <c r="M18" s="168" t="s">
        <v>370</v>
      </c>
      <c r="O18" s="168" t="s">
        <v>371</v>
      </c>
      <c r="P18" s="166" t="s">
        <v>372</v>
      </c>
      <c r="Q18" s="168" t="s">
        <v>50</v>
      </c>
      <c r="R18" s="166" t="s">
        <v>373</v>
      </c>
      <c r="AT18" s="168" t="s">
        <v>374</v>
      </c>
    </row>
    <row r="19" spans="1:48" x14ac:dyDescent="0.2">
      <c r="D19" s="168" t="s">
        <v>5</v>
      </c>
      <c r="E19" s="166" t="s">
        <v>5</v>
      </c>
      <c r="G19" s="166"/>
      <c r="I19" s="168" t="s">
        <v>375</v>
      </c>
      <c r="J19" s="166" t="s">
        <v>376</v>
      </c>
      <c r="O19" s="168" t="s">
        <v>25</v>
      </c>
      <c r="P19" s="166" t="s">
        <v>377</v>
      </c>
      <c r="Q19" s="168" t="s">
        <v>52</v>
      </c>
      <c r="R19" s="166" t="s">
        <v>378</v>
      </c>
      <c r="AT19" s="166" t="s">
        <v>379</v>
      </c>
    </row>
    <row r="20" spans="1:48" x14ac:dyDescent="0.2">
      <c r="E20" s="166"/>
      <c r="G20" s="166"/>
      <c r="I20" s="168" t="s">
        <v>380</v>
      </c>
      <c r="J20" s="166" t="s">
        <v>381</v>
      </c>
      <c r="P20" s="166"/>
      <c r="R20" s="166"/>
      <c r="AT20" s="168" t="s">
        <v>382</v>
      </c>
    </row>
    <row r="21" spans="1:48" x14ac:dyDescent="0.2">
      <c r="E21" s="166"/>
      <c r="G21" s="166"/>
      <c r="I21" s="168" t="s">
        <v>370</v>
      </c>
      <c r="J21" s="166" t="s">
        <v>381</v>
      </c>
      <c r="P21" s="166"/>
      <c r="R21" s="166"/>
      <c r="AT21" s="166" t="s">
        <v>383</v>
      </c>
    </row>
    <row r="22" spans="1:48" x14ac:dyDescent="0.2">
      <c r="E22" s="166"/>
      <c r="G22" s="166"/>
      <c r="I22" s="168"/>
      <c r="J22" s="166"/>
      <c r="P22" s="166"/>
      <c r="R22" s="166"/>
      <c r="AT22" s="168" t="str">
        <f>"Seulement pour l'"&amp;FR_Élémentaire</f>
        <v>Seulement pour l'Élémentaire</v>
      </c>
    </row>
    <row r="23" spans="1:48" x14ac:dyDescent="0.2">
      <c r="E23" s="166"/>
      <c r="G23" s="166"/>
      <c r="I23" s="168"/>
      <c r="J23" s="166"/>
      <c r="P23" s="166"/>
      <c r="R23" s="166"/>
    </row>
    <row r="24" spans="1:48" x14ac:dyDescent="0.2">
      <c r="E24" s="166"/>
      <c r="G24" s="166"/>
      <c r="I24" s="168"/>
      <c r="J24" s="166"/>
      <c r="P24" s="166"/>
      <c r="R24" s="166"/>
    </row>
    <row r="25" spans="1:48" x14ac:dyDescent="0.2">
      <c r="E25" s="166"/>
      <c r="G25" s="166"/>
      <c r="I25" s="168"/>
      <c r="J25" s="166"/>
      <c r="P25" s="166"/>
      <c r="R25" s="166"/>
    </row>
    <row r="26" spans="1:48" x14ac:dyDescent="0.2">
      <c r="E26" s="166"/>
      <c r="G26" s="166"/>
      <c r="I26" s="168"/>
      <c r="J26" s="166"/>
      <c r="O26" s="166" t="s">
        <v>384</v>
      </c>
      <c r="P26" s="166"/>
      <c r="R26" s="166"/>
      <c r="T26" s="166" t="s">
        <v>385</v>
      </c>
      <c r="U26" s="166"/>
      <c r="V26" s="166"/>
      <c r="W26" s="166"/>
      <c r="X26" s="166" t="s">
        <v>386</v>
      </c>
      <c r="Y26" s="166"/>
      <c r="Z26" s="166"/>
      <c r="AA26" s="166"/>
      <c r="AB26" s="166" t="s">
        <v>387</v>
      </c>
      <c r="AC26" s="166"/>
      <c r="AD26" s="166"/>
      <c r="AE26" s="166"/>
      <c r="AF26" s="166" t="s">
        <v>388</v>
      </c>
      <c r="AG26" s="166"/>
      <c r="AH26" s="166"/>
      <c r="AI26" s="166"/>
      <c r="AJ26" s="166" t="s">
        <v>389</v>
      </c>
      <c r="AK26" s="166"/>
      <c r="AL26" s="166"/>
    </row>
    <row r="27" spans="1:48" x14ac:dyDescent="0.2">
      <c r="E27" s="166"/>
      <c r="G27" s="166"/>
      <c r="I27" s="168"/>
      <c r="J27" s="166"/>
      <c r="O27" s="166" t="s">
        <v>390</v>
      </c>
      <c r="P27" s="166"/>
      <c r="R27" s="166"/>
      <c r="T27" s="167" t="s">
        <v>329</v>
      </c>
      <c r="U27" s="167">
        <v>0</v>
      </c>
      <c r="V27" s="167">
        <v>1</v>
      </c>
      <c r="W27" s="168"/>
      <c r="X27" s="167" t="s">
        <v>329</v>
      </c>
      <c r="Y27" s="167">
        <v>0</v>
      </c>
      <c r="Z27" s="167">
        <v>1</v>
      </c>
      <c r="AA27" s="168"/>
      <c r="AB27" s="168" t="s">
        <v>330</v>
      </c>
      <c r="AC27" s="167">
        <v>1</v>
      </c>
      <c r="AD27" s="167">
        <v>0</v>
      </c>
      <c r="AE27" s="168"/>
      <c r="AF27" s="167" t="s">
        <v>329</v>
      </c>
      <c r="AG27" s="167">
        <v>0</v>
      </c>
      <c r="AH27" s="167">
        <v>1</v>
      </c>
      <c r="AI27" s="168"/>
      <c r="AJ27" s="168" t="s">
        <v>331</v>
      </c>
      <c r="AK27" s="167">
        <v>0</v>
      </c>
      <c r="AL27" s="167">
        <v>1</v>
      </c>
      <c r="AT27" s="166" t="s">
        <v>391</v>
      </c>
      <c r="AV27" s="166" t="s">
        <v>392</v>
      </c>
    </row>
    <row r="28" spans="1:48" x14ac:dyDescent="0.2">
      <c r="D28" s="166" t="s">
        <v>393</v>
      </c>
      <c r="E28" s="166"/>
      <c r="F28" s="166" t="s">
        <v>394</v>
      </c>
      <c r="G28" s="166"/>
      <c r="I28" s="168"/>
      <c r="J28" s="166"/>
      <c r="M28" t="s">
        <v>395</v>
      </c>
      <c r="O28" s="166" t="s">
        <v>396</v>
      </c>
      <c r="P28" s="166"/>
      <c r="R28" s="166"/>
      <c r="T28" s="167" t="s">
        <v>339</v>
      </c>
      <c r="U28" s="167">
        <v>1</v>
      </c>
      <c r="V28" s="167">
        <v>0</v>
      </c>
      <c r="W28" s="168"/>
      <c r="X28" s="167" t="s">
        <v>339</v>
      </c>
      <c r="Y28" s="167">
        <v>1</v>
      </c>
      <c r="Z28" s="167">
        <v>0</v>
      </c>
      <c r="AA28" s="168"/>
      <c r="AB28" s="168" t="s">
        <v>106</v>
      </c>
      <c r="AC28" s="167">
        <v>2</v>
      </c>
      <c r="AD28" s="167">
        <v>0</v>
      </c>
      <c r="AE28" s="168"/>
      <c r="AF28" s="167" t="s">
        <v>339</v>
      </c>
      <c r="AG28" s="167">
        <v>1</v>
      </c>
      <c r="AH28" s="167">
        <v>0</v>
      </c>
      <c r="AI28" s="168"/>
      <c r="AJ28" s="168" t="s">
        <v>335</v>
      </c>
      <c r="AK28" s="167">
        <v>1</v>
      </c>
      <c r="AL28" s="167">
        <v>1</v>
      </c>
      <c r="AT28" s="168" t="s">
        <v>397</v>
      </c>
      <c r="AV28" s="168" t="s">
        <v>398</v>
      </c>
    </row>
    <row r="29" spans="1:48" x14ac:dyDescent="0.2">
      <c r="A29" t="s">
        <v>399</v>
      </c>
      <c r="D29" s="168" t="s">
        <v>123</v>
      </c>
      <c r="E29" s="166" t="s">
        <v>2</v>
      </c>
      <c r="F29" s="168" t="s">
        <v>400</v>
      </c>
      <c r="G29" s="166" t="s">
        <v>350</v>
      </c>
      <c r="I29" s="168" t="s">
        <v>351</v>
      </c>
      <c r="J29" s="166" t="s">
        <v>352</v>
      </c>
      <c r="M29" s="168" t="s">
        <v>210</v>
      </c>
      <c r="O29" s="168" t="s">
        <v>401</v>
      </c>
      <c r="P29" s="166" t="s">
        <v>354</v>
      </c>
      <c r="Q29" s="168" t="s">
        <v>402</v>
      </c>
      <c r="R29" s="166" t="s">
        <v>355</v>
      </c>
      <c r="T29" s="167" t="s">
        <v>334</v>
      </c>
      <c r="U29" s="168">
        <v>1</v>
      </c>
      <c r="V29" s="168">
        <v>1</v>
      </c>
      <c r="W29" s="168"/>
      <c r="X29" s="167" t="s">
        <v>334</v>
      </c>
      <c r="Y29" s="168">
        <v>1</v>
      </c>
      <c r="Z29" s="168">
        <v>1</v>
      </c>
      <c r="AA29" s="168"/>
      <c r="AB29" s="168" t="s">
        <v>340</v>
      </c>
      <c r="AC29" s="167">
        <v>1</v>
      </c>
      <c r="AD29" s="167">
        <v>0</v>
      </c>
      <c r="AE29" s="168"/>
      <c r="AF29" s="167" t="s">
        <v>334</v>
      </c>
      <c r="AG29" s="168">
        <v>1</v>
      </c>
      <c r="AH29" s="168">
        <v>1</v>
      </c>
      <c r="AI29" s="168"/>
      <c r="AJ29" s="168" t="s">
        <v>341</v>
      </c>
      <c r="AK29" s="167">
        <v>2</v>
      </c>
      <c r="AL29" s="167">
        <v>1</v>
      </c>
      <c r="AT29" s="166" t="s">
        <v>403</v>
      </c>
      <c r="AV29" s="166" t="s">
        <v>404</v>
      </c>
    </row>
    <row r="30" spans="1:48" x14ac:dyDescent="0.2">
      <c r="D30" s="168" t="s">
        <v>124</v>
      </c>
      <c r="E30" s="166" t="s">
        <v>358</v>
      </c>
      <c r="F30" s="168" t="s">
        <v>405</v>
      </c>
      <c r="G30" s="166" t="s">
        <v>360</v>
      </c>
      <c r="I30" s="168" t="s">
        <v>361</v>
      </c>
      <c r="J30" s="166" t="s">
        <v>362</v>
      </c>
      <c r="M30" s="168" t="s">
        <v>208</v>
      </c>
      <c r="O30" s="168" t="s">
        <v>406</v>
      </c>
      <c r="P30" s="166" t="s">
        <v>365</v>
      </c>
      <c r="Q30" s="168" t="s">
        <v>407</v>
      </c>
      <c r="R30" s="166" t="s">
        <v>366</v>
      </c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/>
      <c r="AF30" s="168"/>
      <c r="AG30" s="168"/>
      <c r="AH30" s="168"/>
      <c r="AI30" s="168"/>
      <c r="AJ30" s="168" t="s">
        <v>346</v>
      </c>
      <c r="AK30" s="167">
        <v>1</v>
      </c>
      <c r="AL30" s="167">
        <v>0</v>
      </c>
      <c r="AT30" s="168" t="str">
        <f>EN_Maternelle&amp;" &amp; "&amp;EN_Élémentaire&amp;" only"</f>
        <v>Kindergarten &amp; Elementary only</v>
      </c>
      <c r="AV30" s="168" t="s">
        <v>408</v>
      </c>
    </row>
    <row r="31" spans="1:48" x14ac:dyDescent="0.2">
      <c r="D31" s="168" t="s">
        <v>125</v>
      </c>
      <c r="E31" s="166" t="s">
        <v>4</v>
      </c>
      <c r="F31" s="168" t="s">
        <v>198</v>
      </c>
      <c r="G31" s="166" t="s">
        <v>369</v>
      </c>
      <c r="I31" s="168"/>
      <c r="J31" s="166"/>
      <c r="M31" s="168" t="s">
        <v>409</v>
      </c>
      <c r="O31" s="168" t="s">
        <v>410</v>
      </c>
      <c r="P31" s="166" t="s">
        <v>372</v>
      </c>
      <c r="Q31" s="168" t="s">
        <v>199</v>
      </c>
      <c r="R31" s="166" t="s">
        <v>373</v>
      </c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168"/>
      <c r="AG31" s="168"/>
      <c r="AH31" s="168"/>
      <c r="AI31" s="168"/>
      <c r="AJ31" s="168" t="s">
        <v>356</v>
      </c>
      <c r="AK31" s="167">
        <v>2</v>
      </c>
      <c r="AL31" s="167">
        <v>0</v>
      </c>
      <c r="AT31" s="166" t="s">
        <v>411</v>
      </c>
    </row>
    <row r="32" spans="1:48" x14ac:dyDescent="0.2">
      <c r="D32" s="168" t="s">
        <v>126</v>
      </c>
      <c r="E32" s="166" t="s">
        <v>5</v>
      </c>
      <c r="G32" s="166"/>
      <c r="I32" s="168" t="s">
        <v>375</v>
      </c>
      <c r="J32" s="166" t="s">
        <v>376</v>
      </c>
      <c r="O32" s="168" t="s">
        <v>145</v>
      </c>
      <c r="P32" s="166" t="s">
        <v>377</v>
      </c>
      <c r="Q32" s="168" t="s">
        <v>412</v>
      </c>
      <c r="R32" s="166" t="s">
        <v>378</v>
      </c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/>
      <c r="AF32" s="168"/>
      <c r="AG32" s="168"/>
      <c r="AH32" s="168"/>
      <c r="AI32" s="168"/>
      <c r="AJ32" s="168" t="s">
        <v>339</v>
      </c>
      <c r="AK32" s="167">
        <v>1</v>
      </c>
      <c r="AL32" s="167">
        <v>0</v>
      </c>
      <c r="AT32" s="168" t="s">
        <v>413</v>
      </c>
    </row>
    <row r="33" spans="1:48" x14ac:dyDescent="0.2">
      <c r="E33" s="166"/>
      <c r="G33" s="166"/>
      <c r="I33" s="168" t="s">
        <v>380</v>
      </c>
      <c r="J33" s="166" t="s">
        <v>381</v>
      </c>
      <c r="P33" s="166"/>
      <c r="R33" s="166"/>
      <c r="AT33" s="166" t="s">
        <v>414</v>
      </c>
    </row>
    <row r="34" spans="1:48" x14ac:dyDescent="0.2">
      <c r="E34" s="166"/>
      <c r="G34" s="166"/>
      <c r="I34" s="168" t="s">
        <v>370</v>
      </c>
      <c r="J34" s="166" t="s">
        <v>381</v>
      </c>
      <c r="P34" s="166"/>
      <c r="R34" s="166"/>
      <c r="AT34" s="168" t="s">
        <v>415</v>
      </c>
    </row>
    <row r="35" spans="1:48" x14ac:dyDescent="0.2">
      <c r="E35" s="166"/>
      <c r="G35" s="166"/>
      <c r="I35" s="168"/>
      <c r="J35" s="166"/>
      <c r="P35" s="166"/>
      <c r="R35" s="166"/>
      <c r="AT35" s="166" t="s">
        <v>416</v>
      </c>
    </row>
    <row r="36" spans="1:48" x14ac:dyDescent="0.2">
      <c r="E36" s="166"/>
      <c r="G36" s="166"/>
      <c r="I36" s="168"/>
      <c r="J36" s="166"/>
      <c r="P36" s="166"/>
      <c r="R36" s="166"/>
      <c r="AT36" s="168" t="s">
        <v>417</v>
      </c>
    </row>
    <row r="37" spans="1:48" x14ac:dyDescent="0.2">
      <c r="E37" s="166"/>
      <c r="G37" s="166"/>
      <c r="I37" s="168"/>
      <c r="J37" s="166"/>
      <c r="P37" s="166"/>
      <c r="R37" s="166"/>
    </row>
    <row r="38" spans="1:48" x14ac:dyDescent="0.2">
      <c r="E38" s="166"/>
      <c r="G38" s="166"/>
      <c r="I38" s="168"/>
      <c r="J38" s="166"/>
      <c r="P38" s="166"/>
      <c r="R38" s="166"/>
    </row>
    <row r="39" spans="1:48" x14ac:dyDescent="0.2">
      <c r="E39" s="166"/>
      <c r="G39" s="166"/>
      <c r="I39" s="168"/>
      <c r="J39" s="166"/>
      <c r="O39" s="166" t="s">
        <v>418</v>
      </c>
      <c r="P39" s="166"/>
      <c r="R39" s="166"/>
      <c r="T39" s="166" t="s">
        <v>419</v>
      </c>
      <c r="U39" s="166"/>
      <c r="V39" s="166"/>
      <c r="W39" s="166"/>
      <c r="X39" s="166" t="s">
        <v>420</v>
      </c>
      <c r="Y39" s="166"/>
      <c r="Z39" s="166"/>
      <c r="AA39" s="166"/>
      <c r="AB39" s="166" t="s">
        <v>421</v>
      </c>
      <c r="AC39" s="166"/>
      <c r="AD39" s="166"/>
      <c r="AE39" s="166"/>
      <c r="AF39" s="166" t="s">
        <v>422</v>
      </c>
      <c r="AG39" s="166"/>
      <c r="AH39" s="166"/>
      <c r="AI39" s="166"/>
      <c r="AJ39" s="166" t="s">
        <v>423</v>
      </c>
      <c r="AK39" s="166"/>
      <c r="AL39" s="166"/>
      <c r="AT39" s="166" t="s">
        <v>424</v>
      </c>
      <c r="AV39" s="166" t="s">
        <v>425</v>
      </c>
    </row>
    <row r="40" spans="1:48" x14ac:dyDescent="0.2">
      <c r="E40" s="166"/>
      <c r="G40" s="166"/>
      <c r="I40" s="168"/>
      <c r="J40" s="166"/>
      <c r="O40" s="166" t="s">
        <v>426</v>
      </c>
      <c r="P40" s="166"/>
      <c r="R40" s="166"/>
      <c r="T40" s="167" t="s">
        <v>329</v>
      </c>
      <c r="U40" s="167">
        <v>0</v>
      </c>
      <c r="V40" s="167">
        <v>1</v>
      </c>
      <c r="W40" s="168"/>
      <c r="X40" s="167" t="s">
        <v>329</v>
      </c>
      <c r="Y40" s="167">
        <v>0</v>
      </c>
      <c r="Z40" s="167">
        <v>1</v>
      </c>
      <c r="AA40" s="168"/>
      <c r="AB40" s="168" t="s">
        <v>330</v>
      </c>
      <c r="AC40" s="167">
        <v>1</v>
      </c>
      <c r="AD40" s="167">
        <v>0</v>
      </c>
      <c r="AE40" s="168"/>
      <c r="AF40" s="167" t="s">
        <v>329</v>
      </c>
      <c r="AG40" s="167">
        <v>0</v>
      </c>
      <c r="AH40" s="167">
        <v>1</v>
      </c>
      <c r="AI40" s="168"/>
      <c r="AJ40" s="168" t="s">
        <v>331</v>
      </c>
      <c r="AK40" s="167">
        <v>0</v>
      </c>
      <c r="AL40" s="167">
        <v>1</v>
      </c>
      <c r="AT40" s="168" t="s">
        <v>427</v>
      </c>
      <c r="AV40" s="168" t="s">
        <v>428</v>
      </c>
    </row>
    <row r="41" spans="1:48" x14ac:dyDescent="0.2">
      <c r="D41" s="166" t="s">
        <v>429</v>
      </c>
      <c r="E41" s="166"/>
      <c r="F41" s="166" t="s">
        <v>430</v>
      </c>
      <c r="G41" s="166"/>
      <c r="I41" s="168"/>
      <c r="J41" s="166"/>
      <c r="M41" t="s">
        <v>431</v>
      </c>
      <c r="O41" s="166" t="s">
        <v>432</v>
      </c>
      <c r="P41" s="166"/>
      <c r="R41" s="166"/>
      <c r="T41" s="167" t="s">
        <v>339</v>
      </c>
      <c r="U41" s="167">
        <v>1</v>
      </c>
      <c r="V41" s="167">
        <v>0</v>
      </c>
      <c r="W41" s="168"/>
      <c r="X41" s="167" t="s">
        <v>339</v>
      </c>
      <c r="Y41" s="167">
        <v>1</v>
      </c>
      <c r="Z41" s="167">
        <v>0</v>
      </c>
      <c r="AA41" s="168"/>
      <c r="AB41" s="168" t="s">
        <v>106</v>
      </c>
      <c r="AC41" s="167">
        <v>2</v>
      </c>
      <c r="AD41" s="167">
        <v>0</v>
      </c>
      <c r="AE41" s="168"/>
      <c r="AF41" s="167" t="s">
        <v>339</v>
      </c>
      <c r="AG41" s="167">
        <v>1</v>
      </c>
      <c r="AH41" s="167">
        <v>0</v>
      </c>
      <c r="AI41" s="168"/>
      <c r="AJ41" s="168" t="s">
        <v>335</v>
      </c>
      <c r="AK41" s="167">
        <v>1</v>
      </c>
      <c r="AL41" s="167">
        <v>1</v>
      </c>
      <c r="AT41" s="166" t="s">
        <v>433</v>
      </c>
      <c r="AV41" s="166" t="s">
        <v>434</v>
      </c>
    </row>
    <row r="42" spans="1:48" x14ac:dyDescent="0.2">
      <c r="A42" t="s">
        <v>435</v>
      </c>
      <c r="D42" s="168" t="s">
        <v>123</v>
      </c>
      <c r="E42" s="166" t="s">
        <v>2</v>
      </c>
      <c r="F42" s="168" t="s">
        <v>294</v>
      </c>
      <c r="G42" s="166" t="s">
        <v>350</v>
      </c>
      <c r="I42" s="168" t="s">
        <v>351</v>
      </c>
      <c r="J42" s="166" t="s">
        <v>352</v>
      </c>
      <c r="M42" s="168" t="s">
        <v>304</v>
      </c>
      <c r="O42" s="168" t="s">
        <v>401</v>
      </c>
      <c r="P42" s="166" t="s">
        <v>354</v>
      </c>
      <c r="Q42" s="168" t="s">
        <v>253</v>
      </c>
      <c r="R42" s="166" t="s">
        <v>355</v>
      </c>
      <c r="T42" s="167" t="s">
        <v>334</v>
      </c>
      <c r="U42" s="168">
        <v>1</v>
      </c>
      <c r="V42" s="168">
        <v>1</v>
      </c>
      <c r="W42" s="168"/>
      <c r="X42" s="167" t="s">
        <v>334</v>
      </c>
      <c r="Y42" s="168">
        <v>1</v>
      </c>
      <c r="Z42" s="168">
        <v>1</v>
      </c>
      <c r="AA42" s="168"/>
      <c r="AB42" s="168" t="s">
        <v>340</v>
      </c>
      <c r="AC42" s="167">
        <v>1</v>
      </c>
      <c r="AD42" s="167">
        <v>0</v>
      </c>
      <c r="AE42" s="168"/>
      <c r="AF42" s="167" t="s">
        <v>334</v>
      </c>
      <c r="AG42" s="168">
        <v>1</v>
      </c>
      <c r="AH42" s="168">
        <v>1</v>
      </c>
      <c r="AI42" s="168"/>
      <c r="AJ42" s="168" t="s">
        <v>341</v>
      </c>
      <c r="AK42" s="167">
        <v>2</v>
      </c>
      <c r="AL42" s="167">
        <v>1</v>
      </c>
      <c r="AT42" s="168" t="str">
        <f>"Nur "&amp;EN_Maternelle&amp;" &amp; "&amp;EN_Élémentaire</f>
        <v>Nur Kindergarten &amp; Elementary</v>
      </c>
      <c r="AV42" s="168" t="s">
        <v>436</v>
      </c>
    </row>
    <row r="43" spans="1:48" x14ac:dyDescent="0.2">
      <c r="D43" s="168" t="s">
        <v>216</v>
      </c>
      <c r="E43" s="166" t="s">
        <v>358</v>
      </c>
      <c r="F43" s="168" t="s">
        <v>292</v>
      </c>
      <c r="G43" s="166" t="s">
        <v>360</v>
      </c>
      <c r="I43" s="168" t="s">
        <v>361</v>
      </c>
      <c r="J43" s="166" t="s">
        <v>362</v>
      </c>
      <c r="M43" s="168" t="s">
        <v>302</v>
      </c>
      <c r="O43" s="168" t="s">
        <v>437</v>
      </c>
      <c r="P43" s="166" t="s">
        <v>365</v>
      </c>
      <c r="Q43" s="168" t="s">
        <v>255</v>
      </c>
      <c r="R43" s="166" t="s">
        <v>366</v>
      </c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168"/>
      <c r="AG43" s="168"/>
      <c r="AH43" s="168"/>
      <c r="AI43" s="168"/>
      <c r="AJ43" s="168" t="s">
        <v>346</v>
      </c>
      <c r="AK43" s="167">
        <v>1</v>
      </c>
      <c r="AL43" s="167">
        <v>0</v>
      </c>
      <c r="AT43" s="166" t="s">
        <v>438</v>
      </c>
    </row>
    <row r="44" spans="1:48" x14ac:dyDescent="0.2">
      <c r="D44" s="168" t="s">
        <v>217</v>
      </c>
      <c r="E44" s="166" t="s">
        <v>4</v>
      </c>
      <c r="F44" s="168" t="s">
        <v>439</v>
      </c>
      <c r="G44" s="166" t="s">
        <v>369</v>
      </c>
      <c r="I44" s="168"/>
      <c r="J44" s="166"/>
      <c r="M44" s="168" t="s">
        <v>454</v>
      </c>
      <c r="O44" s="168" t="s">
        <v>440</v>
      </c>
      <c r="P44" s="166" t="s">
        <v>372</v>
      </c>
      <c r="Q44" s="168" t="s">
        <v>257</v>
      </c>
      <c r="R44" s="166" t="s">
        <v>373</v>
      </c>
      <c r="T44" s="168"/>
      <c r="U44" s="168"/>
      <c r="V44" s="168"/>
      <c r="W44" s="168"/>
      <c r="X44" s="168"/>
      <c r="Y44" s="168"/>
      <c r="Z44" s="168"/>
      <c r="AA44" s="168"/>
      <c r="AB44" s="168"/>
      <c r="AC44" s="168"/>
      <c r="AD44" s="168"/>
      <c r="AE44" s="168"/>
      <c r="AF44" s="168"/>
      <c r="AG44" s="168"/>
      <c r="AH44" s="168"/>
      <c r="AI44" s="168"/>
      <c r="AJ44" s="168" t="s">
        <v>356</v>
      </c>
      <c r="AK44" s="167">
        <v>2</v>
      </c>
      <c r="AL44" s="167">
        <v>0</v>
      </c>
      <c r="AT44" s="168" t="s">
        <v>441</v>
      </c>
    </row>
    <row r="45" spans="1:48" x14ac:dyDescent="0.2">
      <c r="D45" s="168" t="s">
        <v>218</v>
      </c>
      <c r="E45" s="166" t="s">
        <v>5</v>
      </c>
      <c r="I45" s="168" t="s">
        <v>375</v>
      </c>
      <c r="J45" s="166" t="s">
        <v>376</v>
      </c>
      <c r="O45" s="168" t="s">
        <v>240</v>
      </c>
      <c r="P45" s="166" t="s">
        <v>377</v>
      </c>
      <c r="Q45" s="168" t="s">
        <v>259</v>
      </c>
      <c r="R45" s="166" t="s">
        <v>378</v>
      </c>
      <c r="T45" s="168"/>
      <c r="U45" s="168"/>
      <c r="V45" s="168"/>
      <c r="W45" s="168"/>
      <c r="X45" s="168"/>
      <c r="Y45" s="168"/>
      <c r="Z45" s="168"/>
      <c r="AA45" s="168"/>
      <c r="AB45" s="168"/>
      <c r="AC45" s="168"/>
      <c r="AD45" s="168"/>
      <c r="AE45" s="168"/>
      <c r="AF45" s="168"/>
      <c r="AG45" s="168"/>
      <c r="AH45" s="168"/>
      <c r="AI45" s="168"/>
      <c r="AJ45" s="168" t="s">
        <v>339</v>
      </c>
      <c r="AK45" s="167">
        <v>1</v>
      </c>
      <c r="AL45" s="167">
        <v>0</v>
      </c>
      <c r="AT45" s="166" t="s">
        <v>442</v>
      </c>
    </row>
    <row r="46" spans="1:48" x14ac:dyDescent="0.2">
      <c r="I46" s="168" t="s">
        <v>380</v>
      </c>
      <c r="J46" s="166" t="s">
        <v>381</v>
      </c>
      <c r="AT46" s="168" t="s">
        <v>443</v>
      </c>
    </row>
    <row r="47" spans="1:48" x14ac:dyDescent="0.2">
      <c r="I47" s="168" t="s">
        <v>370</v>
      </c>
      <c r="J47" s="166" t="s">
        <v>381</v>
      </c>
      <c r="AT47" s="166" t="s">
        <v>444</v>
      </c>
    </row>
    <row r="48" spans="1:48" x14ac:dyDescent="0.2">
      <c r="AT48" s="168" t="str">
        <f>"Nur "&amp;EN_Élémentaire</f>
        <v>Nur Elementary</v>
      </c>
    </row>
    <row r="51" spans="1:4" x14ac:dyDescent="0.2">
      <c r="A51" t="s">
        <v>445</v>
      </c>
      <c r="D51" s="171" t="s">
        <v>446</v>
      </c>
    </row>
    <row r="52" spans="1:4" x14ac:dyDescent="0.2">
      <c r="D52" t="s">
        <v>447</v>
      </c>
    </row>
    <row r="53" spans="1:4" x14ac:dyDescent="0.2">
      <c r="D53" t="s">
        <v>448</v>
      </c>
    </row>
    <row r="54" spans="1:4" x14ac:dyDescent="0.2">
      <c r="D54" t="s">
        <v>449</v>
      </c>
    </row>
    <row r="55" spans="1:4" x14ac:dyDescent="0.2">
      <c r="D55" t="s">
        <v>450</v>
      </c>
    </row>
    <row r="56" spans="1:4" x14ac:dyDescent="0.2">
      <c r="D56" t="s">
        <v>453</v>
      </c>
    </row>
  </sheetData>
  <sheetProtection algorithmName="SHA-512" hashValue="Gv6Jf9HE+++puqmdCgA8mRggzZsBwgFcYraSbzLvQGapUc35ksvhjBeT25uWdj78OOuEO9tJ0jxoJi1yeP2xyA==" saltValue="sLTw7afgymBEKQ87qPmNhQ==" spinCount="100000" sheet="1" objects="1" scenarios="1"/>
  <mergeCells count="1">
    <mergeCell ref="D5:F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e4ae12-9969-4060-b49d-c549a3ad167c">
      <Terms xmlns="http://schemas.microsoft.com/office/infopath/2007/PartnerControls"/>
    </lcf76f155ced4ddcb4097134ff3c332f>
    <TaxCatchAll xmlns="168c296b-b5fb-4322-84aa-ef2aac1dd39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DF6C4293060847961AB25F330F6525" ma:contentTypeVersion="18" ma:contentTypeDescription="Crée un document." ma:contentTypeScope="" ma:versionID="b9775fe73dd1ebbe263c3247198f6c32">
  <xsd:schema xmlns:xsd="http://www.w3.org/2001/XMLSchema" xmlns:xs="http://www.w3.org/2001/XMLSchema" xmlns:p="http://schemas.microsoft.com/office/2006/metadata/properties" xmlns:ns2="168c296b-b5fb-4322-84aa-ef2aac1dd39b" xmlns:ns3="7de4ae12-9969-4060-b49d-c549a3ad167c" targetNamespace="http://schemas.microsoft.com/office/2006/metadata/properties" ma:root="true" ma:fieldsID="05cddfbee51c8bbab884b1852d5aa2fe" ns2:_="" ns3:_="">
    <xsd:import namespace="168c296b-b5fb-4322-84aa-ef2aac1dd39b"/>
    <xsd:import namespace="7de4ae12-9969-4060-b49d-c549a3ad167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8c296b-b5fb-4322-84aa-ef2aac1dd39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bb85250-16ad-4780-a1ff-c8be56935e8f}" ma:internalName="TaxCatchAll" ma:showField="CatchAllData" ma:web="168c296b-b5fb-4322-84aa-ef2aac1dd3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e4ae12-9969-4060-b49d-c549a3ad16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7c0f9099-b9c7-40cc-bc8a-ea483dcc73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D8E36F-A880-4290-B7EF-6E6E7B5E23B5}">
  <ds:schemaRefs>
    <ds:schemaRef ds:uri="http://schemas.microsoft.com/office/2006/metadata/properties"/>
    <ds:schemaRef ds:uri="http://www.w3.org/2000/xmlns/"/>
    <ds:schemaRef ds:uri="7de4ae12-9969-4060-b49d-c549a3ad167c"/>
    <ds:schemaRef ds:uri="http://schemas.microsoft.com/office/infopath/2007/PartnerControls"/>
    <ds:schemaRef ds:uri="168c296b-b5fb-4322-84aa-ef2aac1dd39b"/>
    <ds:schemaRef ds:uri="http://www.w3.org/2001/XMLSchema-instance"/>
  </ds:schemaRefs>
</ds:datastoreItem>
</file>

<file path=customXml/itemProps2.xml><?xml version="1.0" encoding="utf-8"?>
<ds:datastoreItem xmlns:ds="http://schemas.openxmlformats.org/officeDocument/2006/customXml" ds:itemID="{5669AC6F-5AF2-4EB2-8AAB-5011929C712F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168c296b-b5fb-4322-84aa-ef2aac1dd39b"/>
    <ds:schemaRef ds:uri="7de4ae12-9969-4060-b49d-c549a3ad167c"/>
  </ds:schemaRefs>
</ds:datastoreItem>
</file>

<file path=customXml/itemProps3.xml><?xml version="1.0" encoding="utf-8"?>
<ds:datastoreItem xmlns:ds="http://schemas.openxmlformats.org/officeDocument/2006/customXml" ds:itemID="{9D12CA96-97D7-4541-98F7-D680EB2C773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f97d88c-e8f7-4e7f-8f6e-cb38e4b99278}" enabled="0" method="" siteId="{6f97d88c-e8f7-4e7f-8f6e-cb38e4b9927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163</vt:i4>
      </vt:variant>
    </vt:vector>
  </HeadingPairs>
  <TitlesOfParts>
    <vt:vector size="170" baseType="lpstr">
      <vt:lpstr>Budget -Tarifs</vt:lpstr>
      <vt:lpstr>Simulateur | FR</vt:lpstr>
      <vt:lpstr>Budget -Fares EN</vt:lpstr>
      <vt:lpstr>Simulator | EN</vt:lpstr>
      <vt:lpstr>Budget -Tarife DE</vt:lpstr>
      <vt:lpstr>Simulator | DE</vt:lpstr>
      <vt:lpstr>Paramètres</vt:lpstr>
      <vt:lpstr>DE_Cantine_Lookup</vt:lpstr>
      <vt:lpstr>DE_Collège</vt:lpstr>
      <vt:lpstr>DE_Élémentaire</vt:lpstr>
      <vt:lpstr>DE_ERR_Données_oligatoires_manquantes</vt:lpstr>
      <vt:lpstr>DE_ERR_Données_tarifs_réduits_manquantes</vt:lpstr>
      <vt:lpstr>DE_ERR_Non_proposé_pour_lycée</vt:lpstr>
      <vt:lpstr>DE_ERR_Non_proposé_pour_secondaire</vt:lpstr>
      <vt:lpstr>DE_ERR_Seulement_pour_élémentaire</vt:lpstr>
      <vt:lpstr>DE_Étude_dirigée</vt:lpstr>
      <vt:lpstr>DE_Étude_dirigée_Lookup</vt:lpstr>
      <vt:lpstr>DE_Garderie_Jeudi</vt:lpstr>
      <vt:lpstr>DE_Garderie_Lundi</vt:lpstr>
      <vt:lpstr>DE_Garderie_Mardi</vt:lpstr>
      <vt:lpstr>DE_Garderie_Mercredi</vt:lpstr>
      <vt:lpstr>DE_Garderie_Vendredi</vt:lpstr>
      <vt:lpstr>DE_INFO_Dépôt_de_garantie_à_verser_lors_de_la_première_inscription</vt:lpstr>
      <vt:lpstr>DE_INFO_Dépôt_de_garantie_déjà_versé</vt:lpstr>
      <vt:lpstr>DE_Inscription</vt:lpstr>
      <vt:lpstr>DE_Inscription_Lookup</vt:lpstr>
      <vt:lpstr>DE_Liste_Oui_Non</vt:lpstr>
      <vt:lpstr>DE_Liste_Oui_Non_Ne_souhaite_pas_répondre</vt:lpstr>
      <vt:lpstr>DE_Lycée</vt:lpstr>
      <vt:lpstr>DE_Maternelle</vt:lpstr>
      <vt:lpstr>DE_Ne_souhaite_pas_répondre</vt:lpstr>
      <vt:lpstr>DE_Niveaux</vt:lpstr>
      <vt:lpstr>DE_Niveaux_Lookup</vt:lpstr>
      <vt:lpstr>DE_Nombre_Enfants_à_scolariser</vt:lpstr>
      <vt:lpstr>DE_Non</vt:lpstr>
      <vt:lpstr>DE_Oui</vt:lpstr>
      <vt:lpstr>DE_Régime_Cantine_Collège_Lycée</vt:lpstr>
      <vt:lpstr>DE_Régime_Cantine_Élémentaire</vt:lpstr>
      <vt:lpstr>DE_Régime_Cantine_Maternelle</vt:lpstr>
      <vt:lpstr>DE_Tarif_applicable</vt:lpstr>
      <vt:lpstr>EN_Cantine_Lookup</vt:lpstr>
      <vt:lpstr>EN_Collège</vt:lpstr>
      <vt:lpstr>EN_Élémentaire</vt:lpstr>
      <vt:lpstr>EN_ERR_Données_oligatoires_manquantes</vt:lpstr>
      <vt:lpstr>EN_ERR_Données_tarifs_réduits_manquantes</vt:lpstr>
      <vt:lpstr>EN_ERR_Non_proposé_pour_lycée</vt:lpstr>
      <vt:lpstr>EN_ERR_Non_proposé_pour_secondaire</vt:lpstr>
      <vt:lpstr>EN_ERR_Seulement_pour_élémentaire</vt:lpstr>
      <vt:lpstr>EN_Étude_dirigée</vt:lpstr>
      <vt:lpstr>EN_Étude_dirigée_Lookup</vt:lpstr>
      <vt:lpstr>EN_Garderie_Jeudi</vt:lpstr>
      <vt:lpstr>EN_Garderie_Lundi</vt:lpstr>
      <vt:lpstr>EN_Garderie_Mardi</vt:lpstr>
      <vt:lpstr>EN_Garderie_Mercredi</vt:lpstr>
      <vt:lpstr>EN_Garderie_Vendredi</vt:lpstr>
      <vt:lpstr>EN_INFO_Dépôt_de_garantie_à_verser_lors_de_la_première_inscription</vt:lpstr>
      <vt:lpstr>EN_INFO_Dépôt_de_garantie_déjà_versé</vt:lpstr>
      <vt:lpstr>EN_Inscription</vt:lpstr>
      <vt:lpstr>EN_Inscription_Lookup</vt:lpstr>
      <vt:lpstr>EN_Liste_Oui_Non</vt:lpstr>
      <vt:lpstr>EN_Liste_Oui_Non_Ne_souhaite_pas_répondre</vt:lpstr>
      <vt:lpstr>EN_Lycée</vt:lpstr>
      <vt:lpstr>EN_Maternelle</vt:lpstr>
      <vt:lpstr>EN_Ne_souhaite_pas_répondre</vt:lpstr>
      <vt:lpstr>EN_Niveaux</vt:lpstr>
      <vt:lpstr>EN_Niveaux_Lookup</vt:lpstr>
      <vt:lpstr>EN_Nombre_Enfants_à_scolariser</vt:lpstr>
      <vt:lpstr>EN_Non</vt:lpstr>
      <vt:lpstr>EN_Oui</vt:lpstr>
      <vt:lpstr>EN_Régime_Cantine_Collège_Lycée</vt:lpstr>
      <vt:lpstr>EN_Régime_Cantine_Élémentaire</vt:lpstr>
      <vt:lpstr>EN_Régime_Cantine_Maternelle</vt:lpstr>
      <vt:lpstr>EN_Tarif_applicable</vt:lpstr>
      <vt:lpstr>FR_Cantine_Lookup</vt:lpstr>
      <vt:lpstr>FR_Collège</vt:lpstr>
      <vt:lpstr>FR_Élémentaire</vt:lpstr>
      <vt:lpstr>FR_ERR_Données_oligatoires_manquantes</vt:lpstr>
      <vt:lpstr>FR_ERR_Données_tarifs_réduits_manquantes</vt:lpstr>
      <vt:lpstr>FR_ERR_Non_proposé_pour_lycée</vt:lpstr>
      <vt:lpstr>FR_ERR_Non_proposé_pour_secondaire</vt:lpstr>
      <vt:lpstr>FR_ERR_Seulement_pour_élémentaire</vt:lpstr>
      <vt:lpstr>FR_Étude_dirigée</vt:lpstr>
      <vt:lpstr>FR_Étude_dirigée_Lookup</vt:lpstr>
      <vt:lpstr>FR_Garderie_Jeudi</vt:lpstr>
      <vt:lpstr>FR_Garderie_Lundi</vt:lpstr>
      <vt:lpstr>FR_Garderie_Mardi</vt:lpstr>
      <vt:lpstr>FR_Garderie_Mercredi</vt:lpstr>
      <vt:lpstr>FR_Garderie_Vendredi</vt:lpstr>
      <vt:lpstr>FR_INFO_Dépôt_de_garantie_à_verser_lors_de_la_première_inscription</vt:lpstr>
      <vt:lpstr>FR_INFO_Dépôt_de_garantie_déjà_versé</vt:lpstr>
      <vt:lpstr>FR_Inscription</vt:lpstr>
      <vt:lpstr>FR_Inscription_Lookup</vt:lpstr>
      <vt:lpstr>FR_Liste_Oui_Non</vt:lpstr>
      <vt:lpstr>FR_Liste_Oui_Non_Ne_souhaite_pas_répondre</vt:lpstr>
      <vt:lpstr>FR_Lycée</vt:lpstr>
      <vt:lpstr>FR_Maternelle</vt:lpstr>
      <vt:lpstr>FR_Ne_souhaite_pas_répondre</vt:lpstr>
      <vt:lpstr>FR_Niveaux</vt:lpstr>
      <vt:lpstr>FR_Niveaux_Lookup</vt:lpstr>
      <vt:lpstr>Simulator | DE!FR_Nombre_Enfants_à_scolariser</vt:lpstr>
      <vt:lpstr>Simulator | EN!FR_Nombre_Enfants_à_scolariser</vt:lpstr>
      <vt:lpstr>FR_Nombre_Enfants_à_scolariser</vt:lpstr>
      <vt:lpstr>FR_Non</vt:lpstr>
      <vt:lpstr>FR_Oui</vt:lpstr>
      <vt:lpstr>FR_Régime_Cantine_Collège_Lycée</vt:lpstr>
      <vt:lpstr>FR_Régime_Cantine_Élémentaire</vt:lpstr>
      <vt:lpstr>FR_Régime_Cantine_Maternelle</vt:lpstr>
      <vt:lpstr>Simulator | DE!FR_Tarif_applicable</vt:lpstr>
      <vt:lpstr>Simulator | EN!FR_Tarif_applicable</vt:lpstr>
      <vt:lpstr>FR_Tarif_applicable</vt:lpstr>
      <vt:lpstr>Garderie_Jeudi_VLOOKUP</vt:lpstr>
      <vt:lpstr>Garderie_Lundi_VLOOKUP</vt:lpstr>
      <vt:lpstr>Garderie_Mardi_VLOOKUP</vt:lpstr>
      <vt:lpstr>Garderie_Mercredi_VLOOKUP</vt:lpstr>
      <vt:lpstr>Garderie_Vendredi_VLOOKUP</vt:lpstr>
      <vt:lpstr>T_Cantine_Collège_DP5</vt:lpstr>
      <vt:lpstr>T_Cantine_Collège_PN</vt:lpstr>
      <vt:lpstr>T_Cantine_Élémentaire_DP4</vt:lpstr>
      <vt:lpstr>T_Cantine_Élémentaire_DP5</vt:lpstr>
      <vt:lpstr>T_Cantine_Élémentaire_PN</vt:lpstr>
      <vt:lpstr>T_Cantine_Lycée_DP5</vt:lpstr>
      <vt:lpstr>T_Cantine_Lycée_PN</vt:lpstr>
      <vt:lpstr>T_Cantine_Maternelle_DP4</vt:lpstr>
      <vt:lpstr>T_Cantine_Maternelle_DP5</vt:lpstr>
      <vt:lpstr>T_Dépôt_de_garantie</vt:lpstr>
      <vt:lpstr>T_Droits_d_entrée</vt:lpstr>
      <vt:lpstr>T_Étude_dirigée_1_séance</vt:lpstr>
      <vt:lpstr>T_Étude_dirigée_2_séances</vt:lpstr>
      <vt:lpstr>T_Étude_dirigée_3_séances</vt:lpstr>
      <vt:lpstr>T_Étude_dirigée_4_séances</vt:lpstr>
      <vt:lpstr>T_Frais_de_Dossier</vt:lpstr>
      <vt:lpstr>T_Frais_de_réinscription</vt:lpstr>
      <vt:lpstr>T_Garderie_1Sem_1h00</vt:lpstr>
      <vt:lpstr>T_Garderie_1Sem_1h15</vt:lpstr>
      <vt:lpstr>T_HTS</vt:lpstr>
      <vt:lpstr>T_Livres_Collège</vt:lpstr>
      <vt:lpstr>T_Livres_Élémentaire</vt:lpstr>
      <vt:lpstr>T_Livres_Lycée</vt:lpstr>
      <vt:lpstr>T_Livres_Maternelle</vt:lpstr>
      <vt:lpstr>T_Mercredis_récréatifs</vt:lpstr>
      <vt:lpstr>T_Navette_1Sem</vt:lpstr>
      <vt:lpstr>T_Prime_Fidélité</vt:lpstr>
      <vt:lpstr>TO_Collège</vt:lpstr>
      <vt:lpstr>TO_Élémentaire</vt:lpstr>
      <vt:lpstr>TO_Lycée</vt:lpstr>
      <vt:lpstr>TO_Maternelle</vt:lpstr>
      <vt:lpstr>TR1_Collège</vt:lpstr>
      <vt:lpstr>TR1_Élémentaire</vt:lpstr>
      <vt:lpstr>TR1_Lycée</vt:lpstr>
      <vt:lpstr>TR1_Maternelle</vt:lpstr>
      <vt:lpstr>TR2_Collège</vt:lpstr>
      <vt:lpstr>TR2_Élémentaire</vt:lpstr>
      <vt:lpstr>TR2_Lycée</vt:lpstr>
      <vt:lpstr>TR2_Maternelle</vt:lpstr>
      <vt:lpstr>TR3_Collège</vt:lpstr>
      <vt:lpstr>TR3_Élémentaire</vt:lpstr>
      <vt:lpstr>TR3_Lycée</vt:lpstr>
      <vt:lpstr>TR3_Maternelle</vt:lpstr>
      <vt:lpstr>TR4_Collège</vt:lpstr>
      <vt:lpstr>TR4_Élémentaire</vt:lpstr>
      <vt:lpstr>TR4_Lycée</vt:lpstr>
      <vt:lpstr>TR4_Maternelle</vt:lpstr>
      <vt:lpstr>TR5_Collège</vt:lpstr>
      <vt:lpstr>TR5_Élémentaire</vt:lpstr>
      <vt:lpstr>TR5_Lycée</vt:lpstr>
      <vt:lpstr>TR5_Maternelle</vt:lpstr>
      <vt:lpstr>TR6_Collège</vt:lpstr>
      <vt:lpstr>TR6_Élémentaire</vt:lpstr>
      <vt:lpstr>TR6_Lycée</vt:lpstr>
      <vt:lpstr>TR6_Maternelle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 BLANC</dc:creator>
  <cp:keywords/>
  <dc:description/>
  <cp:lastModifiedBy>Pierre-Yves LECUÉ</cp:lastModifiedBy>
  <cp:revision/>
  <dcterms:created xsi:type="dcterms:W3CDTF">2025-02-03T15:04:42Z</dcterms:created>
  <dcterms:modified xsi:type="dcterms:W3CDTF">2025-03-11T15:16:45Z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da52270-6ed3-4abe-ba7c-b9255dadcdf9_Enabled">
    <vt:lpwstr>true</vt:lpwstr>
  </property>
  <property fmtid="{D5CDD505-2E9C-101B-9397-08002B2CF9AE}" pid="3" name="MSIP_Label_4da52270-6ed3-4abe-ba7c-b9255dadcdf9_SetDate">
    <vt:lpwstr>2025-02-03T16:43:17Z</vt:lpwstr>
  </property>
  <property fmtid="{D5CDD505-2E9C-101B-9397-08002B2CF9AE}" pid="4" name="MSIP_Label_4da52270-6ed3-4abe-ba7c-b9255dadcdf9_Method">
    <vt:lpwstr>Standard</vt:lpwstr>
  </property>
  <property fmtid="{D5CDD505-2E9C-101B-9397-08002B2CF9AE}" pid="5" name="MSIP_Label_4da52270-6ed3-4abe-ba7c-b9255dadcdf9_Name">
    <vt:lpwstr>4da52270-6ed3-4abe-ba7c-b9255dadcdf9</vt:lpwstr>
  </property>
  <property fmtid="{D5CDD505-2E9C-101B-9397-08002B2CF9AE}" pid="6" name="MSIP_Label_4da52270-6ed3-4abe-ba7c-b9255dadcdf9_SiteId">
    <vt:lpwstr>46e04f2b-093e-4ad0-a99f-0331aa506e12</vt:lpwstr>
  </property>
  <property fmtid="{D5CDD505-2E9C-101B-9397-08002B2CF9AE}" pid="7" name="MSIP_Label_4da52270-6ed3-4abe-ba7c-b9255dadcdf9_ActionId">
    <vt:lpwstr>5f433378-42e1-4454-86ba-bf8a9c81c853</vt:lpwstr>
  </property>
  <property fmtid="{D5CDD505-2E9C-101B-9397-08002B2CF9AE}" pid="8" name="MSIP_Label_4da52270-6ed3-4abe-ba7c-b9255dadcdf9_ContentBits">
    <vt:lpwstr>2</vt:lpwstr>
  </property>
  <property fmtid="{D5CDD505-2E9C-101B-9397-08002B2CF9AE}" pid="9" name="MSIP_Label_4da52270-6ed3-4abe-ba7c-b9255dadcdf9_Tag">
    <vt:lpwstr>50, 3, 0, 1</vt:lpwstr>
  </property>
  <property fmtid="{D5CDD505-2E9C-101B-9397-08002B2CF9AE}" pid="10" name="ContentTypeId">
    <vt:lpwstr>0x010100ADDF6C4293060847961AB25F330F6525</vt:lpwstr>
  </property>
  <property fmtid="{D5CDD505-2E9C-101B-9397-08002B2CF9AE}" pid="11" name="MediaServiceImageTags">
    <vt:lpwstr/>
  </property>
</Properties>
</file>